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activeTab="1"/>
  </bookViews>
  <sheets>
    <sheet name="TFR" sheetId="2" r:id="rId1"/>
    <sheet name="ICT with Tertiary" sheetId="1" r:id="rId2"/>
    <sheet name=" LV fault" sheetId="4" r:id="rId3"/>
    <sheet name="Notes" sheetId="6" r:id="rId4"/>
    <sheet name="Sheet2" sheetId="5" r:id="rId5"/>
  </sheets>
  <calcPr calcId="144525"/>
</workbook>
</file>

<file path=xl/sharedStrings.xml><?xml version="1.0" encoding="utf-8"?>
<sst xmlns="http://schemas.openxmlformats.org/spreadsheetml/2006/main" count="246" uniqueCount="113">
  <si>
    <t>Base</t>
  </si>
  <si>
    <t>MVA</t>
  </si>
  <si>
    <t>kV</t>
  </si>
  <si>
    <t>Source -1</t>
  </si>
  <si>
    <t>Line</t>
  </si>
  <si>
    <t>ICT/TFR</t>
  </si>
  <si>
    <t>Source-2</t>
  </si>
  <si>
    <t>Source MVA</t>
  </si>
  <si>
    <t>Source pu imp</t>
  </si>
  <si>
    <t>Line imp per km</t>
  </si>
  <si>
    <t>km</t>
  </si>
  <si>
    <t>line kV</t>
  </si>
  <si>
    <t>Line pu imp</t>
  </si>
  <si>
    <t>ICT/TFR MVA</t>
  </si>
  <si>
    <t>% Imp</t>
  </si>
  <si>
    <t>Imp pu</t>
  </si>
  <si>
    <t>3 Ph</t>
  </si>
  <si>
    <t>X1</t>
  </si>
  <si>
    <t>HV-MV</t>
  </si>
  <si>
    <t>1 Ph</t>
  </si>
  <si>
    <t>Xo</t>
  </si>
  <si>
    <t>Base Curr</t>
  </si>
  <si>
    <t>F</t>
  </si>
  <si>
    <t>MV base curr</t>
  </si>
  <si>
    <t>Pos seq</t>
  </si>
  <si>
    <t>Curr dist factors</t>
  </si>
  <si>
    <t>Zero seq</t>
  </si>
  <si>
    <t>Total imp</t>
  </si>
  <si>
    <t>I1=I2=Io</t>
  </si>
  <si>
    <t>Amp</t>
  </si>
  <si>
    <t>3Io</t>
  </si>
  <si>
    <t>pu</t>
  </si>
  <si>
    <t>HV</t>
  </si>
  <si>
    <t>Current Dist</t>
  </si>
  <si>
    <t>I1</t>
  </si>
  <si>
    <t>I2</t>
  </si>
  <si>
    <t>Io</t>
  </si>
  <si>
    <t>Ia</t>
  </si>
  <si>
    <t>Ib</t>
  </si>
  <si>
    <t>Ic</t>
  </si>
  <si>
    <t>Current in fault</t>
  </si>
  <si>
    <t>Star</t>
  </si>
  <si>
    <t>HV-LV</t>
  </si>
  <si>
    <t>LV</t>
  </si>
  <si>
    <t>MV-LV</t>
  </si>
  <si>
    <t>T</t>
  </si>
  <si>
    <t>Source-1</t>
  </si>
  <si>
    <t>ICT</t>
  </si>
  <si>
    <t>Fault</t>
  </si>
  <si>
    <t>AT Check</t>
  </si>
  <si>
    <t>IV</t>
  </si>
  <si>
    <t>A ph curr ratio</t>
  </si>
  <si>
    <t>Tertiary</t>
  </si>
  <si>
    <t>Total</t>
  </si>
  <si>
    <t>MV+T+S-2</t>
  </si>
  <si>
    <t>S-2 + MV</t>
  </si>
  <si>
    <t>(T)</t>
  </si>
  <si>
    <t>(MV)</t>
  </si>
  <si>
    <t>MV</t>
  </si>
  <si>
    <t>LV/HV</t>
  </si>
  <si>
    <t>Deg</t>
  </si>
  <si>
    <t>Voltages</t>
  </si>
  <si>
    <t>At Fault</t>
  </si>
  <si>
    <t>V1</t>
  </si>
  <si>
    <t>j</t>
  </si>
  <si>
    <t>V2</t>
  </si>
  <si>
    <t>(-0.5-j0.866)*V1+(-0.5+j0.866)*V2+V0</t>
  </si>
  <si>
    <t>V0</t>
  </si>
  <si>
    <t>(-0.5+j0.866)*V1+(-0.5-j0.866)*V2+V0</t>
  </si>
  <si>
    <t>At Vs</t>
  </si>
  <si>
    <t>Va</t>
  </si>
  <si>
    <t>Vb</t>
  </si>
  <si>
    <t>Vc</t>
  </si>
  <si>
    <t>Zero seq Factor</t>
  </si>
  <si>
    <t>Kn</t>
  </si>
  <si>
    <t>Zline</t>
  </si>
  <si>
    <t>Vrn/(Ia+Kn*In)</t>
  </si>
  <si>
    <t>OK</t>
  </si>
  <si>
    <t>As measured by dist relay at S-1</t>
  </si>
  <si>
    <t>TFR</t>
  </si>
  <si>
    <t>H</t>
  </si>
  <si>
    <t>HV-T</t>
  </si>
  <si>
    <t>L</t>
  </si>
  <si>
    <t>LV-T</t>
  </si>
  <si>
    <t>LV base curr</t>
  </si>
  <si>
    <t>Ohm</t>
  </si>
  <si>
    <t>NGR</t>
  </si>
  <si>
    <t>LV + NGR</t>
  </si>
  <si>
    <t>S+H II T</t>
  </si>
  <si>
    <t>S+H</t>
  </si>
  <si>
    <t>Ter</t>
  </si>
  <si>
    <t>pu Curr</t>
  </si>
  <si>
    <t>a2V1+aV2+V0</t>
  </si>
  <si>
    <t>(-0.5-j0.866)*E53+(-0.5+j0.866)*E54+V0</t>
  </si>
  <si>
    <t>aV1+a2V2+V0</t>
  </si>
  <si>
    <t>(-0.5+j0.866)*E53+(-0.5-j0.866)*E54+V0</t>
  </si>
  <si>
    <t>TFR LV side faults</t>
  </si>
  <si>
    <t>Due to the tertiary or due to the tank 'phantom tertiary' effect, the  zero sequence current on the primary side does not maintain the TFR ratio with the zero sequence current</t>
  </si>
  <si>
    <t>on the secondary side. The total ATs on HV shall be equal to the Secondary ATs plus tertiary ATs.</t>
  </si>
  <si>
    <t>Although I1 and I2 are in the TFR ratio (Io is not as per TFR ratio), due to the above, the phase currents shall not be in the TFR ratio.</t>
  </si>
  <si>
    <t>This may cause mal-operation of the TFR diff relay on through faults. Hence Io removal reqd.</t>
  </si>
  <si>
    <t>Grid faults</t>
  </si>
  <si>
    <t>The zero sequence currents do no maintain their ratio due to the presence of the tertiary or the tank phantom effect.</t>
  </si>
  <si>
    <t>This can cause mal-operation of the diff relay.</t>
  </si>
  <si>
    <t>Single phase units:</t>
  </si>
  <si>
    <t>If the tertiary is not used, and if there is a source on LV side too, I1, I2 and Io are transferred bet HV and LV.</t>
  </si>
  <si>
    <t>Phase currents maintain their ratio.</t>
  </si>
  <si>
    <t>However, presence of the tertiary helps reduce voltages in un-faulted phases. But then Io does not maintain the ration bet HV and MV. Hence removal of Io is required.</t>
  </si>
  <si>
    <t>LV_HV</t>
  </si>
  <si>
    <t>LV-IV</t>
  </si>
  <si>
    <t>Zero Seq Imp</t>
  </si>
  <si>
    <t>HV-IV</t>
  </si>
  <si>
    <t>IV-LV</t>
  </si>
</sst>
</file>

<file path=xl/styles.xml><?xml version="1.0" encoding="utf-8"?>
<styleSheet xmlns="http://schemas.openxmlformats.org/spreadsheetml/2006/main">
  <numFmts count="12">
    <numFmt numFmtId="176" formatCode="_ * #,##0_ ;_ * \-#,##0_ ;_ * &quot;-&quot;_ ;_ @_ "/>
    <numFmt numFmtId="177" formatCode="_ * #,##0.00_ ;_ * \-#,##0.00_ ;_ * &quot;-&quot;??_ ;_ @_ "/>
    <numFmt numFmtId="44" formatCode="_(&quot;$&quot;* #,##0.00_);_(&quot;$&quot;* \(#,##0.00\);_(&quot;$&quot;* &quot;-&quot;??_);_(@_)"/>
    <numFmt numFmtId="42" formatCode="_(&quot;$&quot;* #,##0_);_(&quot;$&quot;* \(#,##0\);_(&quot;$&quot;* &quot;-&quot;_);_(@_)"/>
    <numFmt numFmtId="178" formatCode="0.0_ "/>
    <numFmt numFmtId="179" formatCode="0_ "/>
    <numFmt numFmtId="180" formatCode="0.00_ "/>
    <numFmt numFmtId="181" formatCode="0.0%"/>
    <numFmt numFmtId="182" formatCode="0.000_ "/>
    <numFmt numFmtId="183" formatCode="_ * #,##0.0_ ;_ * \-#,##0.0_ ;_ * &quot;-&quot;??_ ;_ @_ "/>
    <numFmt numFmtId="184" formatCode="0.0000_ "/>
    <numFmt numFmtId="185" formatCode="0.00000_ "/>
  </numFmts>
  <fonts count="21">
    <font>
      <sz val="11"/>
      <color theme="1"/>
      <name val="Calibri"/>
      <charset val="134"/>
      <scheme val="minor"/>
    </font>
    <font>
      <b/>
      <sz val="11"/>
      <color theme="1"/>
      <name val="Calibri"/>
      <charset val="134"/>
      <scheme val="minor"/>
    </font>
    <font>
      <sz val="11"/>
      <color theme="1"/>
      <name val="Calibri"/>
      <charset val="0"/>
      <scheme val="minor"/>
    </font>
    <font>
      <sz val="11"/>
      <color rgb="FFFF0000"/>
      <name val="Calibri"/>
      <charset val="0"/>
      <scheme val="minor"/>
    </font>
    <font>
      <b/>
      <sz val="11"/>
      <color rgb="FFFFFFFF"/>
      <name val="Calibri"/>
      <charset val="0"/>
      <scheme val="minor"/>
    </font>
    <font>
      <b/>
      <sz val="13"/>
      <color theme="3"/>
      <name val="Calibri"/>
      <charset val="134"/>
      <scheme val="minor"/>
    </font>
    <font>
      <sz val="11"/>
      <color rgb="FF9C0006"/>
      <name val="Calibri"/>
      <charset val="0"/>
      <scheme val="minor"/>
    </font>
    <font>
      <b/>
      <sz val="11"/>
      <color theme="3"/>
      <name val="Calibri"/>
      <charset val="134"/>
      <scheme val="minor"/>
    </font>
    <font>
      <i/>
      <sz val="11"/>
      <color rgb="FF7F7F7F"/>
      <name val="Calibri"/>
      <charset val="0"/>
      <scheme val="minor"/>
    </font>
    <font>
      <u/>
      <sz val="11"/>
      <color rgb="FF800080"/>
      <name val="Calibri"/>
      <charset val="0"/>
      <scheme val="minor"/>
    </font>
    <font>
      <sz val="11"/>
      <color theme="0"/>
      <name val="Calibri"/>
      <charset val="0"/>
      <scheme val="minor"/>
    </font>
    <font>
      <b/>
      <sz val="11"/>
      <color theme="1"/>
      <name val="Calibri"/>
      <charset val="0"/>
      <scheme val="minor"/>
    </font>
    <font>
      <b/>
      <sz val="18"/>
      <color theme="3"/>
      <name val="Calibri"/>
      <charset val="134"/>
      <scheme val="minor"/>
    </font>
    <font>
      <u/>
      <sz val="11"/>
      <color rgb="FF0000FF"/>
      <name val="Calibri"/>
      <charset val="0"/>
      <scheme val="minor"/>
    </font>
    <font>
      <b/>
      <sz val="11"/>
      <color rgb="FF3F3F3F"/>
      <name val="Calibri"/>
      <charset val="0"/>
      <scheme val="minor"/>
    </font>
    <font>
      <b/>
      <sz val="15"/>
      <color theme="3"/>
      <name val="Calibri"/>
      <charset val="134"/>
      <scheme val="minor"/>
    </font>
    <font>
      <sz val="11"/>
      <color rgb="FF9C6500"/>
      <name val="Calibri"/>
      <charset val="0"/>
      <scheme val="minor"/>
    </font>
    <font>
      <sz val="11"/>
      <color rgb="FF3F3F76"/>
      <name val="Calibri"/>
      <charset val="0"/>
      <scheme val="minor"/>
    </font>
    <font>
      <sz val="11"/>
      <color rgb="FF006100"/>
      <name val="Calibri"/>
      <charset val="0"/>
      <scheme val="minor"/>
    </font>
    <font>
      <b/>
      <sz val="11"/>
      <color rgb="FFFA7D00"/>
      <name val="Calibri"/>
      <charset val="0"/>
      <scheme val="minor"/>
    </font>
    <font>
      <sz val="11"/>
      <color rgb="FFFA7D00"/>
      <name val="Calibri"/>
      <charset val="0"/>
      <scheme val="minor"/>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9" tint="0.8"/>
        <bgColor indexed="64"/>
      </patternFill>
    </fill>
    <fill>
      <patternFill patternType="solid">
        <fgColor theme="7" tint="0.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2" fillId="9" borderId="0" applyNumberFormat="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4" fillId="10" borderId="19" applyNumberFormat="0" applyAlignment="0" applyProtection="0">
      <alignment vertical="center"/>
    </xf>
    <xf numFmtId="0" fontId="5" fillId="0" borderId="20" applyNumberFormat="0" applyFill="0" applyAlignment="0" applyProtection="0">
      <alignment vertical="center"/>
    </xf>
    <xf numFmtId="0" fontId="0" fillId="21" borderId="24" applyNumberFormat="0" applyFont="0" applyAlignment="0" applyProtection="0">
      <alignment vertical="center"/>
    </xf>
    <xf numFmtId="0" fontId="13" fillId="0" borderId="0" applyNumberFormat="0" applyFill="0" applyBorder="0" applyAlignment="0" applyProtection="0">
      <alignment vertical="center"/>
    </xf>
    <xf numFmtId="0" fontId="10" fillId="27" borderId="0" applyNumberFormat="0" applyBorder="0" applyAlignment="0" applyProtection="0">
      <alignment vertical="center"/>
    </xf>
    <xf numFmtId="0" fontId="9" fillId="0" borderId="0" applyNumberFormat="0" applyFill="0" applyBorder="0" applyAlignment="0" applyProtection="0">
      <alignment vertical="center"/>
    </xf>
    <xf numFmtId="0" fontId="2" fillId="13" borderId="0" applyNumberFormat="0" applyBorder="0" applyAlignment="0" applyProtection="0">
      <alignment vertical="center"/>
    </xf>
    <xf numFmtId="0" fontId="3" fillId="0" borderId="0" applyNumberFormat="0" applyFill="0" applyBorder="0" applyAlignment="0" applyProtection="0">
      <alignment vertical="center"/>
    </xf>
    <xf numFmtId="0" fontId="2" fillId="8"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20" applyNumberFormat="0" applyFill="0" applyAlignment="0" applyProtection="0">
      <alignment vertical="center"/>
    </xf>
    <xf numFmtId="0" fontId="7" fillId="0" borderId="22" applyNumberFormat="0" applyFill="0" applyAlignment="0" applyProtection="0">
      <alignment vertical="center"/>
    </xf>
    <xf numFmtId="0" fontId="7" fillId="0" borderId="0" applyNumberFormat="0" applyFill="0" applyBorder="0" applyAlignment="0" applyProtection="0">
      <alignment vertical="center"/>
    </xf>
    <xf numFmtId="0" fontId="17" fillId="26" borderId="25" applyNumberFormat="0" applyAlignment="0" applyProtection="0">
      <alignment vertical="center"/>
    </xf>
    <xf numFmtId="0" fontId="10" fillId="25" borderId="0" applyNumberFormat="0" applyBorder="0" applyAlignment="0" applyProtection="0">
      <alignment vertical="center"/>
    </xf>
    <xf numFmtId="0" fontId="18" fillId="30" borderId="0" applyNumberFormat="0" applyBorder="0" applyAlignment="0" applyProtection="0">
      <alignment vertical="center"/>
    </xf>
    <xf numFmtId="0" fontId="14" fillId="20" borderId="23" applyNumberFormat="0" applyAlignment="0" applyProtection="0">
      <alignment vertical="center"/>
    </xf>
    <xf numFmtId="0" fontId="2" fillId="34" borderId="0" applyNumberFormat="0" applyBorder="0" applyAlignment="0" applyProtection="0">
      <alignment vertical="center"/>
    </xf>
    <xf numFmtId="0" fontId="19" fillId="20" borderId="25" applyNumberFormat="0" applyAlignment="0" applyProtection="0">
      <alignment vertical="center"/>
    </xf>
    <xf numFmtId="0" fontId="20" fillId="0" borderId="26" applyNumberFormat="0" applyFill="0" applyAlignment="0" applyProtection="0">
      <alignment vertical="center"/>
    </xf>
    <xf numFmtId="0" fontId="11" fillId="0" borderId="21" applyNumberFormat="0" applyFill="0" applyAlignment="0" applyProtection="0">
      <alignment vertical="center"/>
    </xf>
    <xf numFmtId="0" fontId="6" fillId="12" borderId="0" applyNumberFormat="0" applyBorder="0" applyAlignment="0" applyProtection="0">
      <alignment vertical="center"/>
    </xf>
    <xf numFmtId="0" fontId="16" fillId="24" borderId="0" applyNumberFormat="0" applyBorder="0" applyAlignment="0" applyProtection="0">
      <alignment vertical="center"/>
    </xf>
    <xf numFmtId="0" fontId="10" fillId="19" borderId="0" applyNumberFormat="0" applyBorder="0" applyAlignment="0" applyProtection="0">
      <alignment vertical="center"/>
    </xf>
    <xf numFmtId="0" fontId="2" fillId="33" borderId="0" applyNumberFormat="0" applyBorder="0" applyAlignment="0" applyProtection="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2" fillId="32" borderId="0" applyNumberFormat="0" applyBorder="0" applyAlignment="0" applyProtection="0">
      <alignment vertical="center"/>
    </xf>
    <xf numFmtId="0" fontId="2" fillId="29" borderId="0" applyNumberFormat="0" applyBorder="0" applyAlignment="0" applyProtection="0">
      <alignment vertical="center"/>
    </xf>
    <xf numFmtId="0" fontId="10" fillId="36" borderId="0" applyNumberFormat="0" applyBorder="0" applyAlignment="0" applyProtection="0">
      <alignment vertical="center"/>
    </xf>
    <xf numFmtId="0" fontId="10" fillId="15" borderId="0" applyNumberFormat="0" applyBorder="0" applyAlignment="0" applyProtection="0">
      <alignment vertical="center"/>
    </xf>
    <xf numFmtId="0" fontId="2" fillId="28" borderId="0" applyNumberFormat="0" applyBorder="0" applyAlignment="0" applyProtection="0">
      <alignment vertical="center"/>
    </xf>
    <xf numFmtId="0" fontId="10" fillId="17" borderId="0" applyNumberFormat="0" applyBorder="0" applyAlignment="0" applyProtection="0">
      <alignment vertical="center"/>
    </xf>
    <xf numFmtId="0" fontId="2" fillId="31" borderId="0" applyNumberFormat="0" applyBorder="0" applyAlignment="0" applyProtection="0">
      <alignment vertical="center"/>
    </xf>
    <xf numFmtId="0" fontId="2" fillId="7" borderId="0" applyNumberFormat="0" applyBorder="0" applyAlignment="0" applyProtection="0">
      <alignment vertical="center"/>
    </xf>
    <xf numFmtId="0" fontId="10" fillId="16" borderId="0" applyNumberFormat="0" applyBorder="0" applyAlignment="0" applyProtection="0">
      <alignment vertical="center"/>
    </xf>
    <xf numFmtId="0" fontId="2" fillId="6" borderId="0" applyNumberFormat="0" applyBorder="0" applyAlignment="0" applyProtection="0">
      <alignment vertical="center"/>
    </xf>
    <xf numFmtId="0" fontId="10" fillId="35" borderId="0" applyNumberFormat="0" applyBorder="0" applyAlignment="0" applyProtection="0">
      <alignment vertical="center"/>
    </xf>
    <xf numFmtId="0" fontId="10" fillId="14" borderId="0" applyNumberFormat="0" applyBorder="0" applyAlignment="0" applyProtection="0">
      <alignment vertical="center"/>
    </xf>
    <xf numFmtId="0" fontId="2" fillId="11" borderId="0" applyNumberFormat="0" applyBorder="0" applyAlignment="0" applyProtection="0">
      <alignment vertical="center"/>
    </xf>
    <xf numFmtId="0" fontId="10" fillId="22" borderId="0" applyNumberFormat="0" applyBorder="0" applyAlignment="0" applyProtection="0">
      <alignment vertical="center"/>
    </xf>
  </cellStyleXfs>
  <cellXfs count="153">
    <xf numFmtId="0" fontId="0" fillId="0" borderId="0" xfId="0"/>
    <xf numFmtId="180" fontId="0" fillId="0" borderId="0" xfId="0" applyNumberFormat="1"/>
    <xf numFmtId="179" fontId="0" fillId="0" borderId="0" xfId="0" applyNumberFormat="1"/>
    <xf numFmtId="180" fontId="0" fillId="0" borderId="0" xfId="6" applyNumberFormat="1" applyAlignment="1"/>
    <xf numFmtId="180" fontId="1" fillId="0" borderId="0" xfId="6" applyNumberFormat="1" applyFont="1" applyAlignment="1"/>
    <xf numFmtId="180" fontId="1" fillId="0" borderId="0" xfId="0" applyNumberFormat="1" applyFont="1"/>
    <xf numFmtId="178" fontId="0" fillId="0" borderId="0" xfId="0" applyNumberFormat="1"/>
    <xf numFmtId="0" fontId="1" fillId="0" borderId="0" xfId="0" applyFont="1"/>
    <xf numFmtId="181" fontId="1" fillId="0" borderId="0" xfId="6" applyNumberFormat="1" applyFont="1" applyAlignment="1"/>
    <xf numFmtId="10" fontId="1" fillId="0" borderId="0" xfId="6" applyNumberFormat="1" applyFont="1" applyAlignment="1"/>
    <xf numFmtId="0" fontId="0" fillId="0" borderId="0" xfId="0" applyAlignment="1">
      <alignment horizontal="center" wrapText="1"/>
    </xf>
    <xf numFmtId="10" fontId="0" fillId="0" borderId="0" xfId="6" applyNumberFormat="1" applyAlignment="1"/>
    <xf numFmtId="180" fontId="0" fillId="0" borderId="0" xfId="0" applyNumberFormat="1" applyFont="1"/>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4" xfId="0"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2" borderId="5" xfId="0" applyFill="1" applyBorder="1" applyAlignment="1">
      <alignment horizontal="right" wrapText="1"/>
    </xf>
    <xf numFmtId="0" fontId="0" fillId="2" borderId="6" xfId="0" applyFill="1" applyBorder="1" applyAlignment="1">
      <alignment horizontal="right" wrapText="1"/>
    </xf>
    <xf numFmtId="0" fontId="0" fillId="2" borderId="7" xfId="0" applyFill="1" applyBorder="1" applyAlignment="1">
      <alignment horizontal="right" wrapText="1"/>
    </xf>
    <xf numFmtId="0" fontId="0" fillId="0" borderId="0" xfId="0" applyAlignment="1">
      <alignment horizontal="right" wrapText="1"/>
    </xf>
    <xf numFmtId="0" fontId="0" fillId="3" borderId="5" xfId="0" applyFill="1" applyBorder="1" applyAlignment="1">
      <alignment horizontal="right" wrapText="1"/>
    </xf>
    <xf numFmtId="0" fontId="0" fillId="3" borderId="6" xfId="0" applyFill="1" applyBorder="1" applyAlignment="1">
      <alignment horizontal="right" wrapText="1"/>
    </xf>
    <xf numFmtId="0" fontId="0" fillId="2" borderId="8" xfId="0" applyFill="1" applyBorder="1" applyAlignment="1">
      <alignment horizontal="right"/>
    </xf>
    <xf numFmtId="0" fontId="0" fillId="2" borderId="0" xfId="0" applyFill="1" applyAlignment="1">
      <alignment horizontal="right"/>
    </xf>
    <xf numFmtId="0" fontId="0" fillId="2" borderId="9" xfId="0" applyFill="1" applyBorder="1" applyAlignment="1">
      <alignment horizontal="right"/>
    </xf>
    <xf numFmtId="0" fontId="0" fillId="0" borderId="0" xfId="0" applyAlignment="1">
      <alignment horizontal="right"/>
    </xf>
    <xf numFmtId="0" fontId="0" fillId="3" borderId="8" xfId="0" applyFill="1" applyBorder="1" applyAlignment="1">
      <alignment horizontal="right"/>
    </xf>
    <xf numFmtId="0" fontId="0" fillId="3" borderId="0" xfId="0" applyFill="1" applyAlignment="1">
      <alignment horizontal="right"/>
    </xf>
    <xf numFmtId="0" fontId="0" fillId="2" borderId="10" xfId="0" applyFill="1" applyBorder="1" applyAlignment="1">
      <alignment horizontal="right"/>
    </xf>
    <xf numFmtId="182" fontId="0" fillId="2" borderId="11" xfId="0" applyNumberFormat="1" applyFill="1" applyBorder="1" applyAlignment="1">
      <alignment horizontal="right"/>
    </xf>
    <xf numFmtId="0" fontId="0" fillId="3" borderId="12" xfId="0" applyFill="1" applyBorder="1" applyAlignment="1">
      <alignment horizontal="right"/>
    </xf>
    <xf numFmtId="0" fontId="0" fillId="3" borderId="10" xfId="0" applyFill="1" applyBorder="1" applyAlignment="1">
      <alignment horizontal="right"/>
    </xf>
    <xf numFmtId="179" fontId="0" fillId="0" borderId="0" xfId="0" applyNumberFormat="1" applyAlignment="1">
      <alignment horizontal="right"/>
    </xf>
    <xf numFmtId="183" fontId="0" fillId="0" borderId="0" xfId="2" applyNumberFormat="1" applyAlignment="1"/>
    <xf numFmtId="178" fontId="0" fillId="0" borderId="0" xfId="0" applyNumberFormat="1" applyAlignment="1">
      <alignment horizontal="left"/>
    </xf>
    <xf numFmtId="179" fontId="0" fillId="0" borderId="0" xfId="0" applyNumberFormat="1" applyAlignment="1">
      <alignment horizontal="center"/>
    </xf>
    <xf numFmtId="179" fontId="0" fillId="0" borderId="0" xfId="0" applyNumberFormat="1" applyAlignment="1">
      <alignment horizontal="left"/>
    </xf>
    <xf numFmtId="182" fontId="0" fillId="0" borderId="0" xfId="0" applyNumberFormat="1" applyAlignment="1">
      <alignment horizontal="right"/>
    </xf>
    <xf numFmtId="184" fontId="0" fillId="0" borderId="0" xfId="0" applyNumberFormat="1"/>
    <xf numFmtId="184" fontId="0" fillId="0" borderId="0" xfId="0" applyNumberFormat="1" applyAlignment="1">
      <alignment horizontal="right"/>
    </xf>
    <xf numFmtId="180" fontId="0" fillId="0" borderId="0" xfId="0" applyNumberFormat="1" applyAlignment="1">
      <alignment horizontal="right"/>
    </xf>
    <xf numFmtId="0" fontId="0" fillId="3" borderId="3" xfId="0" applyFill="1" applyBorder="1"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3" borderId="7" xfId="0" applyFill="1" applyBorder="1" applyAlignment="1">
      <alignment horizontal="right" wrapText="1"/>
    </xf>
    <xf numFmtId="0" fontId="0" fillId="4" borderId="13" xfId="0" applyFill="1" applyBorder="1" applyAlignment="1">
      <alignment horizontal="right" wrapText="1"/>
    </xf>
    <xf numFmtId="0" fontId="0" fillId="4" borderId="0" xfId="0" applyFill="1" applyBorder="1" applyAlignment="1">
      <alignment horizontal="right" wrapText="1"/>
    </xf>
    <xf numFmtId="0" fontId="0" fillId="4" borderId="14" xfId="0" applyFill="1" applyBorder="1" applyAlignment="1">
      <alignment horizontal="right" wrapText="1"/>
    </xf>
    <xf numFmtId="182" fontId="0" fillId="3" borderId="9" xfId="0" applyNumberFormat="1" applyFill="1" applyBorder="1" applyAlignment="1">
      <alignment horizontal="right"/>
    </xf>
    <xf numFmtId="0" fontId="0" fillId="4" borderId="13" xfId="0" applyFill="1" applyBorder="1" applyAlignment="1">
      <alignment horizontal="right"/>
    </xf>
    <xf numFmtId="0" fontId="0" fillId="4" borderId="0" xfId="0" applyFill="1" applyBorder="1" applyAlignment="1">
      <alignment horizontal="right"/>
    </xf>
    <xf numFmtId="9" fontId="0" fillId="4" borderId="0" xfId="6" applyNumberFormat="1" applyFill="1" applyBorder="1" applyAlignment="1">
      <alignment horizontal="right"/>
    </xf>
    <xf numFmtId="182" fontId="0" fillId="4" borderId="0" xfId="0" applyNumberFormat="1" applyFill="1" applyBorder="1" applyAlignment="1">
      <alignment horizontal="right"/>
    </xf>
    <xf numFmtId="182" fontId="0" fillId="4" borderId="14" xfId="0" applyNumberFormat="1" applyFill="1" applyBorder="1" applyAlignment="1">
      <alignment horizontal="right"/>
    </xf>
    <xf numFmtId="182" fontId="0" fillId="3" borderId="11" xfId="0" applyNumberFormat="1" applyFill="1" applyBorder="1" applyAlignment="1">
      <alignment horizontal="right"/>
    </xf>
    <xf numFmtId="180" fontId="0" fillId="4" borderId="14" xfId="0" applyNumberFormat="1" applyFill="1" applyBorder="1" applyAlignment="1">
      <alignment horizontal="right"/>
    </xf>
    <xf numFmtId="182" fontId="0" fillId="3" borderId="0" xfId="0" applyNumberFormat="1" applyFill="1" applyAlignment="1">
      <alignment horizontal="right"/>
    </xf>
    <xf numFmtId="0" fontId="0" fillId="4" borderId="15" xfId="0" applyFill="1" applyBorder="1" applyAlignment="1">
      <alignment horizontal="right"/>
    </xf>
    <xf numFmtId="0" fontId="0" fillId="4" borderId="16" xfId="0" applyFill="1" applyBorder="1" applyAlignment="1">
      <alignment horizontal="right"/>
    </xf>
    <xf numFmtId="9" fontId="0" fillId="4" borderId="16" xfId="6" applyNumberFormat="1" applyFill="1" applyBorder="1" applyAlignment="1">
      <alignment horizontal="right"/>
    </xf>
    <xf numFmtId="0" fontId="0" fillId="4" borderId="17" xfId="0" applyFill="1" applyBorder="1" applyAlignment="1">
      <alignment horizontal="right"/>
    </xf>
    <xf numFmtId="0" fontId="0" fillId="0" borderId="0" xfId="0" applyAlignment="1">
      <alignment horizontal="left"/>
    </xf>
    <xf numFmtId="0" fontId="0" fillId="0" borderId="0" xfId="0" applyAlignment="1">
      <alignment wrapText="1"/>
    </xf>
    <xf numFmtId="0" fontId="0" fillId="0" borderId="0" xfId="0" applyAlignment="1">
      <alignment horizontal="center"/>
    </xf>
    <xf numFmtId="0" fontId="0" fillId="5" borderId="18" xfId="0" applyFill="1" applyBorder="1" applyAlignment="1">
      <alignment horizontal="center"/>
    </xf>
    <xf numFmtId="0" fontId="0" fillId="5" borderId="5" xfId="0" applyFill="1" applyBorder="1" applyAlignment="1">
      <alignment horizontal="right" wrapText="1"/>
    </xf>
    <xf numFmtId="0" fontId="0" fillId="5" borderId="7" xfId="0" applyFill="1" applyBorder="1" applyAlignment="1">
      <alignment horizontal="right" wrapText="1"/>
    </xf>
    <xf numFmtId="0" fontId="0" fillId="5" borderId="8" xfId="0" applyFill="1" applyBorder="1" applyAlignment="1">
      <alignment horizontal="right"/>
    </xf>
    <xf numFmtId="0" fontId="0" fillId="5" borderId="9" xfId="0" applyFill="1" applyBorder="1" applyAlignment="1">
      <alignment horizontal="right"/>
    </xf>
    <xf numFmtId="0" fontId="0" fillId="5" borderId="12" xfId="0" applyFill="1" applyBorder="1" applyAlignment="1">
      <alignment horizontal="right"/>
    </xf>
    <xf numFmtId="0" fontId="0" fillId="5" borderId="11" xfId="0" applyFill="1" applyBorder="1" applyAlignment="1">
      <alignment horizontal="right"/>
    </xf>
    <xf numFmtId="0" fontId="0" fillId="5" borderId="0" xfId="0" applyFill="1" applyAlignment="1">
      <alignment horizontal="right"/>
    </xf>
    <xf numFmtId="182" fontId="0" fillId="0" borderId="0" xfId="0" applyNumberFormat="1"/>
    <xf numFmtId="0" fontId="0" fillId="0" borderId="0" xfId="0" applyProtection="1"/>
    <xf numFmtId="0" fontId="0" fillId="0" borderId="0" xfId="0" applyAlignment="1" applyProtection="1">
      <alignment horizontal="right"/>
    </xf>
    <xf numFmtId="0" fontId="0" fillId="0" borderId="0" xfId="0" applyAlignment="1" applyProtection="1">
      <alignment horizontal="left"/>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xf numFmtId="0" fontId="0" fillId="0" borderId="4" xfId="0" applyBorder="1" applyAlignment="1" applyProtection="1">
      <alignment horizontal="center"/>
    </xf>
    <xf numFmtId="0" fontId="0" fillId="3" borderId="1" xfId="0" applyFill="1" applyBorder="1" applyAlignment="1" applyProtection="1">
      <alignment horizontal="center"/>
    </xf>
    <xf numFmtId="0" fontId="0" fillId="3" borderId="2" xfId="0" applyFill="1" applyBorder="1" applyAlignment="1" applyProtection="1">
      <alignment horizontal="center"/>
    </xf>
    <xf numFmtId="0" fontId="0" fillId="2" borderId="5" xfId="0" applyFill="1" applyBorder="1" applyAlignment="1" applyProtection="1">
      <alignment horizontal="right" wrapText="1"/>
    </xf>
    <xf numFmtId="0" fontId="0" fillId="2" borderId="6" xfId="0" applyFill="1" applyBorder="1" applyAlignment="1" applyProtection="1">
      <alignment horizontal="right" wrapText="1"/>
    </xf>
    <xf numFmtId="0" fontId="0" fillId="2" borderId="7" xfId="0" applyFill="1" applyBorder="1" applyAlignment="1" applyProtection="1">
      <alignment horizontal="right" wrapText="1"/>
    </xf>
    <xf numFmtId="0" fontId="0" fillId="0" borderId="0" xfId="0" applyAlignment="1" applyProtection="1">
      <alignment horizontal="right" wrapText="1"/>
    </xf>
    <xf numFmtId="0" fontId="0" fillId="3" borderId="5" xfId="0" applyFill="1" applyBorder="1" applyAlignment="1" applyProtection="1">
      <alignment horizontal="right" wrapText="1"/>
    </xf>
    <xf numFmtId="0" fontId="0" fillId="3" borderId="6" xfId="0" applyFill="1" applyBorder="1" applyAlignment="1" applyProtection="1">
      <alignment horizontal="right" wrapText="1"/>
    </xf>
    <xf numFmtId="0" fontId="1" fillId="2" borderId="8" xfId="0" applyFont="1" applyFill="1" applyBorder="1" applyAlignment="1" applyProtection="1">
      <alignment horizontal="right"/>
    </xf>
    <xf numFmtId="0" fontId="0" fillId="2" borderId="0" xfId="0" applyFill="1" applyAlignment="1" applyProtection="1">
      <alignment horizontal="right"/>
    </xf>
    <xf numFmtId="185" fontId="0" fillId="2" borderId="9" xfId="0" applyNumberFormat="1" applyFill="1" applyBorder="1" applyAlignment="1" applyProtection="1">
      <alignment horizontal="right"/>
    </xf>
    <xf numFmtId="0" fontId="0" fillId="0" borderId="0" xfId="0" applyAlignment="1" applyProtection="1">
      <alignment horizontal="right"/>
    </xf>
    <xf numFmtId="0" fontId="1" fillId="3" borderId="8" xfId="0" applyFont="1" applyFill="1" applyBorder="1" applyAlignment="1" applyProtection="1">
      <alignment horizontal="right"/>
    </xf>
    <xf numFmtId="0" fontId="1" fillId="3" borderId="0" xfId="0" applyFont="1" applyFill="1" applyAlignment="1" applyProtection="1">
      <alignment horizontal="right"/>
    </xf>
    <xf numFmtId="0" fontId="1" fillId="2" borderId="12" xfId="0" applyFont="1" applyFill="1" applyBorder="1" applyAlignment="1" applyProtection="1">
      <alignment horizontal="right"/>
    </xf>
    <xf numFmtId="0" fontId="0" fillId="2" borderId="10" xfId="0" applyFill="1" applyBorder="1" applyAlignment="1" applyProtection="1">
      <alignment horizontal="right"/>
    </xf>
    <xf numFmtId="185" fontId="0" fillId="2" borderId="11" xfId="0" applyNumberFormat="1" applyFill="1" applyBorder="1" applyAlignment="1" applyProtection="1">
      <alignment horizontal="right"/>
    </xf>
    <xf numFmtId="0" fontId="1" fillId="3" borderId="12" xfId="0" applyFont="1" applyFill="1" applyBorder="1" applyAlignment="1" applyProtection="1">
      <alignment horizontal="right"/>
    </xf>
    <xf numFmtId="0" fontId="0" fillId="3" borderId="10" xfId="0" applyFill="1" applyBorder="1" applyAlignment="1" applyProtection="1">
      <alignment horizontal="right"/>
    </xf>
    <xf numFmtId="0" fontId="0" fillId="3" borderId="0" xfId="0" applyFill="1" applyAlignment="1" applyProtection="1">
      <alignment horizontal="right"/>
    </xf>
    <xf numFmtId="0" fontId="1" fillId="0" borderId="0" xfId="0" applyFont="1" applyProtection="1"/>
    <xf numFmtId="0" fontId="1" fillId="0" borderId="0" xfId="0" applyFont="1" applyAlignment="1" applyProtection="1">
      <alignment horizontal="center"/>
    </xf>
    <xf numFmtId="179" fontId="0" fillId="0" borderId="0" xfId="0" applyNumberFormat="1" applyAlignment="1" applyProtection="1">
      <alignment horizontal="left"/>
    </xf>
    <xf numFmtId="182" fontId="0" fillId="0" borderId="0" xfId="0" applyNumberFormat="1" applyProtection="1"/>
    <xf numFmtId="179" fontId="0" fillId="0" borderId="0" xfId="0" applyNumberFormat="1" applyProtection="1"/>
    <xf numFmtId="182" fontId="0" fillId="0" borderId="0" xfId="0" applyNumberFormat="1" applyAlignment="1" applyProtection="1">
      <alignment horizontal="right"/>
    </xf>
    <xf numFmtId="180" fontId="0" fillId="0" borderId="0" xfId="0" applyNumberFormat="1" applyAlignment="1" applyProtection="1">
      <alignment horizontal="right"/>
    </xf>
    <xf numFmtId="179" fontId="0" fillId="0" borderId="0" xfId="0" applyNumberFormat="1" applyAlignment="1" applyProtection="1">
      <alignment horizontal="right"/>
    </xf>
    <xf numFmtId="180" fontId="0" fillId="0" borderId="0" xfId="0" applyNumberFormat="1" applyProtection="1"/>
    <xf numFmtId="0" fontId="1" fillId="0" borderId="0" xfId="0" applyFont="1" applyProtection="1"/>
    <xf numFmtId="0" fontId="0" fillId="3" borderId="3" xfId="0" applyFill="1" applyBorder="1" applyAlignment="1" applyProtection="1">
      <alignment horizontal="center"/>
    </xf>
    <xf numFmtId="0" fontId="0" fillId="0" borderId="1" xfId="0" applyBorder="1" applyAlignment="1" applyProtection="1">
      <alignment horizontal="center"/>
    </xf>
    <xf numFmtId="0" fontId="0" fillId="4" borderId="1" xfId="0" applyFill="1" applyBorder="1" applyAlignment="1" applyProtection="1">
      <alignment horizontal="center"/>
    </xf>
    <xf numFmtId="0" fontId="0" fillId="4" borderId="2" xfId="0" applyFill="1" applyBorder="1" applyAlignment="1" applyProtection="1">
      <alignment horizontal="center"/>
    </xf>
    <xf numFmtId="0" fontId="0" fillId="4" borderId="3" xfId="0" applyFill="1" applyBorder="1" applyAlignment="1" applyProtection="1">
      <alignment horizontal="center"/>
    </xf>
    <xf numFmtId="0" fontId="0" fillId="3" borderId="7" xfId="0" applyFill="1" applyBorder="1" applyAlignment="1" applyProtection="1">
      <alignment horizontal="right" wrapText="1"/>
    </xf>
    <xf numFmtId="0" fontId="0" fillId="4" borderId="13" xfId="0" applyFill="1" applyBorder="1" applyAlignment="1" applyProtection="1">
      <alignment horizontal="right" wrapText="1"/>
    </xf>
    <xf numFmtId="0" fontId="0" fillId="4" borderId="0" xfId="0" applyFill="1" applyBorder="1" applyAlignment="1" applyProtection="1">
      <alignment horizontal="right" wrapText="1"/>
    </xf>
    <xf numFmtId="0" fontId="0" fillId="4" borderId="14" xfId="0" applyFill="1" applyBorder="1" applyAlignment="1" applyProtection="1">
      <alignment horizontal="right" wrapText="1"/>
    </xf>
    <xf numFmtId="182" fontId="0" fillId="3" borderId="9" xfId="0" applyNumberFormat="1" applyFill="1" applyBorder="1" applyAlignment="1" applyProtection="1">
      <alignment horizontal="right"/>
    </xf>
    <xf numFmtId="0" fontId="1" fillId="4" borderId="13" xfId="0" applyFont="1" applyFill="1" applyBorder="1" applyAlignment="1" applyProtection="1">
      <alignment horizontal="right"/>
    </xf>
    <xf numFmtId="0" fontId="0" fillId="4" borderId="0" xfId="0" applyFill="1" applyBorder="1" applyAlignment="1" applyProtection="1">
      <alignment horizontal="right"/>
    </xf>
    <xf numFmtId="9" fontId="1" fillId="4" borderId="0" xfId="6" applyNumberFormat="1" applyFont="1" applyFill="1" applyBorder="1" applyAlignment="1" applyProtection="1">
      <alignment horizontal="right"/>
    </xf>
    <xf numFmtId="182" fontId="0" fillId="4" borderId="0" xfId="0" applyNumberFormat="1" applyFill="1" applyBorder="1" applyAlignment="1" applyProtection="1">
      <alignment horizontal="right"/>
    </xf>
    <xf numFmtId="182" fontId="0" fillId="4" borderId="14" xfId="0" applyNumberFormat="1" applyFill="1" applyBorder="1" applyAlignment="1" applyProtection="1">
      <alignment horizontal="right"/>
    </xf>
    <xf numFmtId="182" fontId="0" fillId="3" borderId="11" xfId="0" applyNumberFormat="1" applyFill="1" applyBorder="1" applyAlignment="1" applyProtection="1">
      <alignment horizontal="right"/>
    </xf>
    <xf numFmtId="0" fontId="0" fillId="4" borderId="13" xfId="0" applyFill="1" applyBorder="1" applyAlignment="1" applyProtection="1">
      <alignment horizontal="right"/>
    </xf>
    <xf numFmtId="0" fontId="0" fillId="4" borderId="14" xfId="0" applyFill="1" applyBorder="1" applyAlignment="1" applyProtection="1">
      <alignment horizontal="right"/>
    </xf>
    <xf numFmtId="182" fontId="0" fillId="3" borderId="0" xfId="0" applyNumberFormat="1" applyFill="1" applyAlignment="1" applyProtection="1">
      <alignment horizontal="right"/>
    </xf>
    <xf numFmtId="0" fontId="0" fillId="4" borderId="15" xfId="0" applyFill="1" applyBorder="1" applyAlignment="1" applyProtection="1">
      <alignment horizontal="right"/>
    </xf>
    <xf numFmtId="0" fontId="0" fillId="4" borderId="16" xfId="0" applyFill="1" applyBorder="1" applyAlignment="1" applyProtection="1">
      <alignment horizontal="right"/>
    </xf>
    <xf numFmtId="9" fontId="1" fillId="4" borderId="16" xfId="6" applyNumberFormat="1" applyFont="1" applyFill="1" applyBorder="1" applyAlignment="1" applyProtection="1">
      <alignment horizontal="right"/>
    </xf>
    <xf numFmtId="0" fontId="0" fillId="4" borderId="17" xfId="0" applyFill="1" applyBorder="1" applyAlignment="1" applyProtection="1">
      <alignment horizontal="right"/>
    </xf>
    <xf numFmtId="0" fontId="0" fillId="0" borderId="0" xfId="0" applyAlignment="1" applyProtection="1">
      <alignment horizontal="left"/>
    </xf>
    <xf numFmtId="184" fontId="0" fillId="0" borderId="0" xfId="0" applyNumberFormat="1" applyAlignment="1" applyProtection="1">
      <alignment horizontal="right"/>
    </xf>
    <xf numFmtId="0" fontId="0" fillId="0" borderId="0" xfId="0" applyAlignment="1" applyProtection="1">
      <alignment horizontal="center"/>
      <protection locked="0"/>
    </xf>
    <xf numFmtId="0" fontId="0" fillId="5" borderId="18" xfId="0" applyFill="1" applyBorder="1" applyAlignment="1" applyProtection="1">
      <alignment horizontal="center"/>
    </xf>
    <xf numFmtId="0" fontId="0" fillId="5" borderId="5" xfId="0" applyFill="1" applyBorder="1" applyAlignment="1" applyProtection="1">
      <alignment horizontal="right" wrapText="1"/>
    </xf>
    <xf numFmtId="0" fontId="0" fillId="5" borderId="7" xfId="0" applyFill="1" applyBorder="1" applyAlignment="1" applyProtection="1">
      <alignment horizontal="right" wrapText="1"/>
    </xf>
    <xf numFmtId="0" fontId="1" fillId="5" borderId="8" xfId="0" applyFont="1" applyFill="1" applyBorder="1" applyAlignment="1" applyProtection="1">
      <alignment horizontal="right"/>
    </xf>
    <xf numFmtId="0" fontId="0" fillId="5" borderId="9" xfId="0" applyFill="1" applyBorder="1" applyAlignment="1" applyProtection="1">
      <alignment horizontal="right"/>
    </xf>
    <xf numFmtId="0" fontId="1" fillId="5" borderId="12" xfId="0" applyFont="1" applyFill="1" applyBorder="1" applyAlignment="1" applyProtection="1">
      <alignment horizontal="right"/>
    </xf>
    <xf numFmtId="0" fontId="0" fillId="5" borderId="11" xfId="0" applyFill="1" applyBorder="1" applyAlignment="1" applyProtection="1">
      <alignment horizontal="right"/>
    </xf>
    <xf numFmtId="0" fontId="0" fillId="5" borderId="0" xfId="0" applyFill="1" applyAlignment="1" applyProtection="1">
      <alignment horizontal="right"/>
    </xf>
    <xf numFmtId="0" fontId="0" fillId="0" borderId="0" xfId="0" applyProtection="1">
      <protection locked="0"/>
    </xf>
    <xf numFmtId="0" fontId="0" fillId="2" borderId="12" xfId="0" applyFill="1" applyBorder="1" applyAlignment="1">
      <alignment horizontal="right"/>
    </xf>
    <xf numFmtId="0" fontId="0" fillId="2" borderId="11" xfId="0" applyFill="1" applyBorder="1" applyAlignment="1">
      <alignment horizontal="right"/>
    </xf>
    <xf numFmtId="0" fontId="0" fillId="4" borderId="14" xfId="0" applyFill="1" applyBorder="1" applyAlignment="1">
      <alignment horizontal="right"/>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12</xdr:col>
      <xdr:colOff>19050</xdr:colOff>
      <xdr:row>7</xdr:row>
      <xdr:rowOff>171450</xdr:rowOff>
    </xdr:from>
    <xdr:to>
      <xdr:col>12</xdr:col>
      <xdr:colOff>31750</xdr:colOff>
      <xdr:row>25</xdr:row>
      <xdr:rowOff>0</xdr:rowOff>
    </xdr:to>
    <xdr:cxnSp>
      <xdr:nvCxnSpPr>
        <xdr:cNvPr id="2" name="Straight Connector 1"/>
        <xdr:cNvCxnSpPr/>
      </xdr:nvCxnSpPr>
      <xdr:spPr>
        <a:xfrm>
          <a:off x="6519545" y="1666875"/>
          <a:ext cx="12700" cy="3257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508000</xdr:colOff>
      <xdr:row>14</xdr:row>
      <xdr:rowOff>127000</xdr:rowOff>
    </xdr:from>
    <xdr:to>
      <xdr:col>12</xdr:col>
      <xdr:colOff>76200</xdr:colOff>
      <xdr:row>19</xdr:row>
      <xdr:rowOff>165100</xdr:rowOff>
    </xdr:to>
    <xdr:cxnSp>
      <xdr:nvCxnSpPr>
        <xdr:cNvPr id="3" name="Straight Connector 2"/>
        <xdr:cNvCxnSpPr/>
      </xdr:nvCxnSpPr>
      <xdr:spPr>
        <a:xfrm flipH="1">
          <a:off x="5422265" y="2955925"/>
          <a:ext cx="1154430" cy="990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xdr:colOff>
      <xdr:row>14</xdr:row>
      <xdr:rowOff>174625</xdr:rowOff>
    </xdr:from>
    <xdr:to>
      <xdr:col>14</xdr:col>
      <xdr:colOff>314325</xdr:colOff>
      <xdr:row>20</xdr:row>
      <xdr:rowOff>9525</xdr:rowOff>
    </xdr:to>
    <xdr:cxnSp>
      <xdr:nvCxnSpPr>
        <xdr:cNvPr id="4" name="Straight Connector 3"/>
        <xdr:cNvCxnSpPr/>
      </xdr:nvCxnSpPr>
      <xdr:spPr>
        <a:xfrm>
          <a:off x="6529070" y="3003550"/>
          <a:ext cx="1774190" cy="977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187325</xdr:colOff>
      <xdr:row>19</xdr:row>
      <xdr:rowOff>161925</xdr:rowOff>
    </xdr:from>
    <xdr:to>
      <xdr:col>9</xdr:col>
      <xdr:colOff>542925</xdr:colOff>
      <xdr:row>19</xdr:row>
      <xdr:rowOff>168275</xdr:rowOff>
    </xdr:to>
    <xdr:cxnSp>
      <xdr:nvCxnSpPr>
        <xdr:cNvPr id="5" name="Straight Connector 4"/>
        <xdr:cNvCxnSpPr/>
      </xdr:nvCxnSpPr>
      <xdr:spPr>
        <a:xfrm>
          <a:off x="2949575" y="3943350"/>
          <a:ext cx="2507615"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317500</xdr:colOff>
      <xdr:row>20</xdr:row>
      <xdr:rowOff>12700</xdr:rowOff>
    </xdr:from>
    <xdr:to>
      <xdr:col>14</xdr:col>
      <xdr:colOff>317500</xdr:colOff>
      <xdr:row>22</xdr:row>
      <xdr:rowOff>50800</xdr:rowOff>
    </xdr:to>
    <xdr:cxnSp>
      <xdr:nvCxnSpPr>
        <xdr:cNvPr id="6" name="Straight Connector 5"/>
        <xdr:cNvCxnSpPr/>
      </xdr:nvCxnSpPr>
      <xdr:spPr>
        <a:xfrm>
          <a:off x="8306435" y="3984625"/>
          <a:ext cx="0"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120650</xdr:colOff>
      <xdr:row>22</xdr:row>
      <xdr:rowOff>25400</xdr:rowOff>
    </xdr:from>
    <xdr:to>
      <xdr:col>14</xdr:col>
      <xdr:colOff>330200</xdr:colOff>
      <xdr:row>22</xdr:row>
      <xdr:rowOff>50800</xdr:rowOff>
    </xdr:to>
    <xdr:cxnSp>
      <xdr:nvCxnSpPr>
        <xdr:cNvPr id="7" name="Straight Connector 6"/>
        <xdr:cNvCxnSpPr/>
      </xdr:nvCxnSpPr>
      <xdr:spPr>
        <a:xfrm flipH="1" flipV="1">
          <a:off x="115570" y="4378325"/>
          <a:ext cx="8203565" cy="2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800100</xdr:colOff>
      <xdr:row>7</xdr:row>
      <xdr:rowOff>133350</xdr:rowOff>
    </xdr:from>
    <xdr:to>
      <xdr:col>2</xdr:col>
      <xdr:colOff>812800</xdr:colOff>
      <xdr:row>25</xdr:row>
      <xdr:rowOff>0</xdr:rowOff>
    </xdr:to>
    <xdr:cxnSp>
      <xdr:nvCxnSpPr>
        <xdr:cNvPr id="8" name="Straight Connector 7"/>
        <xdr:cNvCxnSpPr/>
      </xdr:nvCxnSpPr>
      <xdr:spPr>
        <a:xfrm>
          <a:off x="1256030" y="1628775"/>
          <a:ext cx="0" cy="3295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14</xdr:row>
      <xdr:rowOff>19050</xdr:rowOff>
    </xdr:from>
    <xdr:to>
      <xdr:col>2</xdr:col>
      <xdr:colOff>784225</xdr:colOff>
      <xdr:row>19</xdr:row>
      <xdr:rowOff>57150</xdr:rowOff>
    </xdr:to>
    <xdr:cxnSp>
      <xdr:nvCxnSpPr>
        <xdr:cNvPr id="9" name="Straight Connector 8"/>
        <xdr:cNvCxnSpPr/>
      </xdr:nvCxnSpPr>
      <xdr:spPr>
        <a:xfrm flipH="1">
          <a:off x="107950" y="2847975"/>
          <a:ext cx="1138555" cy="990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755650</xdr:colOff>
      <xdr:row>14</xdr:row>
      <xdr:rowOff>12700</xdr:rowOff>
    </xdr:from>
    <xdr:to>
      <xdr:col>5</xdr:col>
      <xdr:colOff>184150</xdr:colOff>
      <xdr:row>19</xdr:row>
      <xdr:rowOff>165100</xdr:rowOff>
    </xdr:to>
    <xdr:cxnSp>
      <xdr:nvCxnSpPr>
        <xdr:cNvPr id="10" name="Straight Connector 9"/>
        <xdr:cNvCxnSpPr/>
      </xdr:nvCxnSpPr>
      <xdr:spPr>
        <a:xfrm>
          <a:off x="1217930" y="2841625"/>
          <a:ext cx="1728470" cy="1104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114300</xdr:colOff>
      <xdr:row>19</xdr:row>
      <xdr:rowOff>57150</xdr:rowOff>
    </xdr:from>
    <xdr:to>
      <xdr:col>0</xdr:col>
      <xdr:colOff>120650</xdr:colOff>
      <xdr:row>22</xdr:row>
      <xdr:rowOff>38100</xdr:rowOff>
    </xdr:to>
    <xdr:cxnSp>
      <xdr:nvCxnSpPr>
        <xdr:cNvPr id="11" name="Straight Connector 10"/>
        <xdr:cNvCxnSpPr/>
      </xdr:nvCxnSpPr>
      <xdr:spPr>
        <a:xfrm>
          <a:off x="114300" y="3838575"/>
          <a:ext cx="1270" cy="552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787400</xdr:colOff>
      <xdr:row>7</xdr:row>
      <xdr:rowOff>165100</xdr:rowOff>
    </xdr:from>
    <xdr:to>
      <xdr:col>12</xdr:col>
      <xdr:colOff>3175</xdr:colOff>
      <xdr:row>8</xdr:row>
      <xdr:rowOff>6350</xdr:rowOff>
    </xdr:to>
    <xdr:cxnSp>
      <xdr:nvCxnSpPr>
        <xdr:cNvPr id="13" name="Straight Connector 12"/>
        <xdr:cNvCxnSpPr/>
      </xdr:nvCxnSpPr>
      <xdr:spPr>
        <a:xfrm>
          <a:off x="1249680" y="1660525"/>
          <a:ext cx="5253990" cy="31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6350</xdr:colOff>
      <xdr:row>25</xdr:row>
      <xdr:rowOff>0</xdr:rowOff>
    </xdr:from>
    <xdr:to>
      <xdr:col>12</xdr:col>
      <xdr:colOff>44450</xdr:colOff>
      <xdr:row>25</xdr:row>
      <xdr:rowOff>31750</xdr:rowOff>
    </xdr:to>
    <xdr:cxnSp>
      <xdr:nvCxnSpPr>
        <xdr:cNvPr id="14" name="Straight Connector 13"/>
        <xdr:cNvCxnSpPr/>
      </xdr:nvCxnSpPr>
      <xdr:spPr>
        <a:xfrm flipV="1">
          <a:off x="1262380" y="4924425"/>
          <a:ext cx="5282565" cy="31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412750</xdr:colOff>
      <xdr:row>8</xdr:row>
      <xdr:rowOff>171450</xdr:rowOff>
    </xdr:from>
    <xdr:to>
      <xdr:col>12</xdr:col>
      <xdr:colOff>419100</xdr:colOff>
      <xdr:row>14</xdr:row>
      <xdr:rowOff>66675</xdr:rowOff>
    </xdr:to>
    <xdr:cxnSp>
      <xdr:nvCxnSpPr>
        <xdr:cNvPr id="15" name="Straight Connector 14"/>
        <xdr:cNvCxnSpPr/>
      </xdr:nvCxnSpPr>
      <xdr:spPr>
        <a:xfrm flipH="1">
          <a:off x="6913245" y="1857375"/>
          <a:ext cx="6350" cy="1038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400050</xdr:colOff>
      <xdr:row>8</xdr:row>
      <xdr:rowOff>171450</xdr:rowOff>
    </xdr:from>
    <xdr:to>
      <xdr:col>13</xdr:col>
      <xdr:colOff>400050</xdr:colOff>
      <xdr:row>12</xdr:row>
      <xdr:rowOff>0</xdr:rowOff>
    </xdr:to>
    <xdr:cxnSp>
      <xdr:nvCxnSpPr>
        <xdr:cNvPr id="16" name="Straight Connector 15"/>
        <xdr:cNvCxnSpPr/>
      </xdr:nvCxnSpPr>
      <xdr:spPr>
        <a:xfrm>
          <a:off x="6900545" y="1857375"/>
          <a:ext cx="63373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412750</xdr:colOff>
      <xdr:row>12</xdr:row>
      <xdr:rowOff>6350</xdr:rowOff>
    </xdr:from>
    <xdr:to>
      <xdr:col>13</xdr:col>
      <xdr:colOff>387350</xdr:colOff>
      <xdr:row>14</xdr:row>
      <xdr:rowOff>31750</xdr:rowOff>
    </xdr:to>
    <xdr:cxnSp>
      <xdr:nvCxnSpPr>
        <xdr:cNvPr id="17" name="Straight Connector 16"/>
        <xdr:cNvCxnSpPr/>
      </xdr:nvCxnSpPr>
      <xdr:spPr>
        <a:xfrm flipV="1">
          <a:off x="6913245" y="2454275"/>
          <a:ext cx="608330" cy="406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299720</xdr:colOff>
      <xdr:row>7</xdr:row>
      <xdr:rowOff>158750</xdr:rowOff>
    </xdr:from>
    <xdr:to>
      <xdr:col>17</xdr:col>
      <xdr:colOff>330200</xdr:colOff>
      <xdr:row>22</xdr:row>
      <xdr:rowOff>19050</xdr:rowOff>
    </xdr:to>
    <xdr:cxnSp>
      <xdr:nvCxnSpPr>
        <xdr:cNvPr id="18" name="Straight Connector 17"/>
        <xdr:cNvCxnSpPr/>
      </xdr:nvCxnSpPr>
      <xdr:spPr>
        <a:xfrm>
          <a:off x="9935845" y="1654175"/>
          <a:ext cx="30480" cy="2717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17145</xdr:colOff>
      <xdr:row>14</xdr:row>
      <xdr:rowOff>114300</xdr:rowOff>
    </xdr:from>
    <xdr:to>
      <xdr:col>17</xdr:col>
      <xdr:colOff>356870</xdr:colOff>
      <xdr:row>19</xdr:row>
      <xdr:rowOff>152400</xdr:rowOff>
    </xdr:to>
    <xdr:cxnSp>
      <xdr:nvCxnSpPr>
        <xdr:cNvPr id="19" name="Straight Connector 18"/>
        <xdr:cNvCxnSpPr/>
      </xdr:nvCxnSpPr>
      <xdr:spPr>
        <a:xfrm flipH="1">
          <a:off x="8606155" y="2943225"/>
          <a:ext cx="1386840" cy="990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318770</xdr:colOff>
      <xdr:row>14</xdr:row>
      <xdr:rowOff>114300</xdr:rowOff>
    </xdr:from>
    <xdr:to>
      <xdr:col>19</xdr:col>
      <xdr:colOff>394970</xdr:colOff>
      <xdr:row>19</xdr:row>
      <xdr:rowOff>139700</xdr:rowOff>
    </xdr:to>
    <xdr:cxnSp>
      <xdr:nvCxnSpPr>
        <xdr:cNvPr id="20" name="Straight Connector 19"/>
        <xdr:cNvCxnSpPr/>
      </xdr:nvCxnSpPr>
      <xdr:spPr>
        <a:xfrm>
          <a:off x="9954895" y="2943225"/>
          <a:ext cx="1588770" cy="977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304800</xdr:colOff>
      <xdr:row>22</xdr:row>
      <xdr:rowOff>0</xdr:rowOff>
    </xdr:from>
    <xdr:to>
      <xdr:col>20</xdr:col>
      <xdr:colOff>57150</xdr:colOff>
      <xdr:row>22</xdr:row>
      <xdr:rowOff>0</xdr:rowOff>
    </xdr:to>
    <xdr:cxnSp>
      <xdr:nvCxnSpPr>
        <xdr:cNvPr id="21" name="Straight Connector 20"/>
        <xdr:cNvCxnSpPr/>
      </xdr:nvCxnSpPr>
      <xdr:spPr>
        <a:xfrm>
          <a:off x="9940925" y="4352925"/>
          <a:ext cx="20466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295275</xdr:colOff>
      <xdr:row>8</xdr:row>
      <xdr:rowOff>6350</xdr:rowOff>
    </xdr:from>
    <xdr:to>
      <xdr:col>20</xdr:col>
      <xdr:colOff>79375</xdr:colOff>
      <xdr:row>8</xdr:row>
      <xdr:rowOff>12700</xdr:rowOff>
    </xdr:to>
    <xdr:cxnSp>
      <xdr:nvCxnSpPr>
        <xdr:cNvPr id="22" name="Straight Connector 21"/>
        <xdr:cNvCxnSpPr/>
      </xdr:nvCxnSpPr>
      <xdr:spPr>
        <a:xfrm flipV="1">
          <a:off x="9931400" y="1692275"/>
          <a:ext cx="2078355"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387350</xdr:colOff>
      <xdr:row>19</xdr:row>
      <xdr:rowOff>120650</xdr:rowOff>
    </xdr:from>
    <xdr:to>
      <xdr:col>20</xdr:col>
      <xdr:colOff>323850</xdr:colOff>
      <xdr:row>19</xdr:row>
      <xdr:rowOff>127000</xdr:rowOff>
    </xdr:to>
    <xdr:cxnSp>
      <xdr:nvCxnSpPr>
        <xdr:cNvPr id="23" name="Straight Connector 22"/>
        <xdr:cNvCxnSpPr/>
      </xdr:nvCxnSpPr>
      <xdr:spPr>
        <a:xfrm flipV="1">
          <a:off x="11536045" y="3902075"/>
          <a:ext cx="718185"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6350</xdr:colOff>
      <xdr:row>19</xdr:row>
      <xdr:rowOff>152400</xdr:rowOff>
    </xdr:from>
    <xdr:to>
      <xdr:col>15</xdr:col>
      <xdr:colOff>12700</xdr:colOff>
      <xdr:row>25</xdr:row>
      <xdr:rowOff>31750</xdr:rowOff>
    </xdr:to>
    <xdr:cxnSp>
      <xdr:nvCxnSpPr>
        <xdr:cNvPr id="24" name="Straight Connector 23"/>
        <xdr:cNvCxnSpPr/>
      </xdr:nvCxnSpPr>
      <xdr:spPr>
        <a:xfrm>
          <a:off x="8595360" y="3933825"/>
          <a:ext cx="6350" cy="1022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25400</xdr:colOff>
      <xdr:row>25</xdr:row>
      <xdr:rowOff>19050</xdr:rowOff>
    </xdr:from>
    <xdr:to>
      <xdr:col>20</xdr:col>
      <xdr:colOff>241300</xdr:colOff>
      <xdr:row>25</xdr:row>
      <xdr:rowOff>50800</xdr:rowOff>
    </xdr:to>
    <xdr:cxnSp>
      <xdr:nvCxnSpPr>
        <xdr:cNvPr id="25" name="Straight Connector 24"/>
        <xdr:cNvCxnSpPr/>
      </xdr:nvCxnSpPr>
      <xdr:spPr>
        <a:xfrm flipV="1">
          <a:off x="8614410" y="4943475"/>
          <a:ext cx="3557270" cy="31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660400</xdr:colOff>
      <xdr:row>7</xdr:row>
      <xdr:rowOff>171450</xdr:rowOff>
    </xdr:from>
    <xdr:to>
      <xdr:col>9</xdr:col>
      <xdr:colOff>6350</xdr:colOff>
      <xdr:row>25</xdr:row>
      <xdr:rowOff>38100</xdr:rowOff>
    </xdr:to>
    <xdr:cxnSp>
      <xdr:nvCxnSpPr>
        <xdr:cNvPr id="26" name="Straight Connector 25"/>
        <xdr:cNvCxnSpPr/>
      </xdr:nvCxnSpPr>
      <xdr:spPr>
        <a:xfrm>
          <a:off x="4914265" y="1666875"/>
          <a:ext cx="6350" cy="3295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704850</xdr:colOff>
      <xdr:row>9</xdr:row>
      <xdr:rowOff>133350</xdr:rowOff>
    </xdr:from>
    <xdr:to>
      <xdr:col>2</xdr:col>
      <xdr:colOff>711200</xdr:colOff>
      <xdr:row>12</xdr:row>
      <xdr:rowOff>127000</xdr:rowOff>
    </xdr:to>
    <xdr:cxnSp>
      <xdr:nvCxnSpPr>
        <xdr:cNvPr id="27" name="Straight Arrow Connector 26"/>
        <xdr:cNvCxnSpPr/>
      </xdr:nvCxnSpPr>
      <xdr:spPr>
        <a:xfrm flipH="1" flipV="1">
          <a:off x="1167130" y="2009775"/>
          <a:ext cx="6350" cy="5651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635000</xdr:colOff>
      <xdr:row>16</xdr:row>
      <xdr:rowOff>165100</xdr:rowOff>
    </xdr:from>
    <xdr:to>
      <xdr:col>4</xdr:col>
      <xdr:colOff>69850</xdr:colOff>
      <xdr:row>18</xdr:row>
      <xdr:rowOff>6350</xdr:rowOff>
    </xdr:to>
    <xdr:cxnSp>
      <xdr:nvCxnSpPr>
        <xdr:cNvPr id="28" name="Straight Arrow Connector 27"/>
        <xdr:cNvCxnSpPr/>
      </xdr:nvCxnSpPr>
      <xdr:spPr>
        <a:xfrm flipH="1" flipV="1">
          <a:off x="1891030" y="3375025"/>
          <a:ext cx="289560" cy="2222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196850</xdr:colOff>
      <xdr:row>15</xdr:row>
      <xdr:rowOff>63500</xdr:rowOff>
    </xdr:from>
    <xdr:to>
      <xdr:col>2</xdr:col>
      <xdr:colOff>247650</xdr:colOff>
      <xdr:row>17</xdr:row>
      <xdr:rowOff>19050</xdr:rowOff>
    </xdr:to>
    <xdr:cxnSp>
      <xdr:nvCxnSpPr>
        <xdr:cNvPr id="29" name="Straight Arrow Connector 28"/>
        <xdr:cNvCxnSpPr/>
      </xdr:nvCxnSpPr>
      <xdr:spPr>
        <a:xfrm flipV="1">
          <a:off x="312420" y="3082925"/>
          <a:ext cx="397510" cy="3365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18</xdr:row>
      <xdr:rowOff>31750</xdr:rowOff>
    </xdr:from>
    <xdr:to>
      <xdr:col>3</xdr:col>
      <xdr:colOff>120650</xdr:colOff>
      <xdr:row>20</xdr:row>
      <xdr:rowOff>25400</xdr:rowOff>
    </xdr:to>
    <xdr:cxnSp>
      <xdr:nvCxnSpPr>
        <xdr:cNvPr id="31" name="Straight Arrow Connector 30"/>
        <xdr:cNvCxnSpPr/>
      </xdr:nvCxnSpPr>
      <xdr:spPr>
        <a:xfrm flipH="1" flipV="1">
          <a:off x="1370330" y="3622675"/>
          <a:ext cx="6350" cy="3746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552450</xdr:colOff>
      <xdr:row>17</xdr:row>
      <xdr:rowOff>95250</xdr:rowOff>
    </xdr:from>
    <xdr:to>
      <xdr:col>10</xdr:col>
      <xdr:colOff>184150</xdr:colOff>
      <xdr:row>18</xdr:row>
      <xdr:rowOff>127000</xdr:rowOff>
    </xdr:to>
    <xdr:cxnSp>
      <xdr:nvCxnSpPr>
        <xdr:cNvPr id="32" name="Straight Arrow Connector 31"/>
        <xdr:cNvCxnSpPr/>
      </xdr:nvCxnSpPr>
      <xdr:spPr>
        <a:xfrm flipH="1">
          <a:off x="5466715" y="3495675"/>
          <a:ext cx="281305" cy="2222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120650</xdr:colOff>
      <xdr:row>15</xdr:row>
      <xdr:rowOff>44450</xdr:rowOff>
    </xdr:from>
    <xdr:to>
      <xdr:col>13</xdr:col>
      <xdr:colOff>527050</xdr:colOff>
      <xdr:row>16</xdr:row>
      <xdr:rowOff>63500</xdr:rowOff>
    </xdr:to>
    <xdr:cxnSp>
      <xdr:nvCxnSpPr>
        <xdr:cNvPr id="33" name="Straight Arrow Connector 32"/>
        <xdr:cNvCxnSpPr/>
      </xdr:nvCxnSpPr>
      <xdr:spPr>
        <a:xfrm>
          <a:off x="7254875" y="3063875"/>
          <a:ext cx="406400" cy="2095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546100</xdr:colOff>
      <xdr:row>11</xdr:row>
      <xdr:rowOff>44450</xdr:rowOff>
    </xdr:from>
    <xdr:to>
      <xdr:col>11</xdr:col>
      <xdr:colOff>546100</xdr:colOff>
      <xdr:row>13</xdr:row>
      <xdr:rowOff>107950</xdr:rowOff>
    </xdr:to>
    <xdr:cxnSp>
      <xdr:nvCxnSpPr>
        <xdr:cNvPr id="34" name="Straight Arrow Connector 33"/>
        <xdr:cNvCxnSpPr/>
      </xdr:nvCxnSpPr>
      <xdr:spPr>
        <a:xfrm flipV="1">
          <a:off x="6412865" y="2301875"/>
          <a:ext cx="0" cy="44450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749300</xdr:colOff>
      <xdr:row>23</xdr:row>
      <xdr:rowOff>158750</xdr:rowOff>
    </xdr:from>
    <xdr:to>
      <xdr:col>8</xdr:col>
      <xdr:colOff>6350</xdr:colOff>
      <xdr:row>23</xdr:row>
      <xdr:rowOff>158750</xdr:rowOff>
    </xdr:to>
    <xdr:cxnSp>
      <xdr:nvCxnSpPr>
        <xdr:cNvPr id="35" name="Straight Arrow Connector 34"/>
        <xdr:cNvCxnSpPr/>
      </xdr:nvCxnSpPr>
      <xdr:spPr>
        <a:xfrm flipH="1">
          <a:off x="3763010" y="4702175"/>
          <a:ext cx="521335" cy="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260350</xdr:colOff>
      <xdr:row>23</xdr:row>
      <xdr:rowOff>114300</xdr:rowOff>
    </xdr:from>
    <xdr:to>
      <xdr:col>10</xdr:col>
      <xdr:colOff>44450</xdr:colOff>
      <xdr:row>23</xdr:row>
      <xdr:rowOff>127000</xdr:rowOff>
    </xdr:to>
    <xdr:cxnSp>
      <xdr:nvCxnSpPr>
        <xdr:cNvPr id="36" name="Straight Arrow Connector 35"/>
        <xdr:cNvCxnSpPr/>
      </xdr:nvCxnSpPr>
      <xdr:spPr>
        <a:xfrm flipV="1">
          <a:off x="5174615" y="4657725"/>
          <a:ext cx="433705" cy="1270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127000</xdr:colOff>
      <xdr:row>9</xdr:row>
      <xdr:rowOff>19050</xdr:rowOff>
    </xdr:from>
    <xdr:to>
      <xdr:col>17</xdr:col>
      <xdr:colOff>133350</xdr:colOff>
      <xdr:row>12</xdr:row>
      <xdr:rowOff>19050</xdr:rowOff>
    </xdr:to>
    <xdr:cxnSp>
      <xdr:nvCxnSpPr>
        <xdr:cNvPr id="37" name="Straight Arrow Connector 36"/>
        <xdr:cNvCxnSpPr/>
      </xdr:nvCxnSpPr>
      <xdr:spPr>
        <a:xfrm>
          <a:off x="9763125" y="1895475"/>
          <a:ext cx="6350" cy="57150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44450</xdr:colOff>
      <xdr:row>14</xdr:row>
      <xdr:rowOff>152400</xdr:rowOff>
    </xdr:from>
    <xdr:to>
      <xdr:col>15</xdr:col>
      <xdr:colOff>533400</xdr:colOff>
      <xdr:row>16</xdr:row>
      <xdr:rowOff>95250</xdr:rowOff>
    </xdr:to>
    <xdr:cxnSp>
      <xdr:nvCxnSpPr>
        <xdr:cNvPr id="38" name="Straight Arrow Connector 37"/>
        <xdr:cNvCxnSpPr/>
      </xdr:nvCxnSpPr>
      <xdr:spPr>
        <a:xfrm flipV="1">
          <a:off x="8633460" y="2981325"/>
          <a:ext cx="488950" cy="3238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793750</xdr:colOff>
      <xdr:row>15</xdr:row>
      <xdr:rowOff>38100</xdr:rowOff>
    </xdr:from>
    <xdr:to>
      <xdr:col>18</xdr:col>
      <xdr:colOff>234950</xdr:colOff>
      <xdr:row>16</xdr:row>
      <xdr:rowOff>95250</xdr:rowOff>
    </xdr:to>
    <xdr:cxnSp>
      <xdr:nvCxnSpPr>
        <xdr:cNvPr id="39" name="Straight Arrow Connector 38"/>
        <xdr:cNvCxnSpPr/>
      </xdr:nvCxnSpPr>
      <xdr:spPr>
        <a:xfrm flipH="1" flipV="1">
          <a:off x="10429875" y="3057525"/>
          <a:ext cx="374650" cy="2476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146050</xdr:colOff>
      <xdr:row>18</xdr:row>
      <xdr:rowOff>25400</xdr:rowOff>
    </xdr:from>
    <xdr:to>
      <xdr:col>17</xdr:col>
      <xdr:colOff>146050</xdr:colOff>
      <xdr:row>21</xdr:row>
      <xdr:rowOff>19050</xdr:rowOff>
    </xdr:to>
    <xdr:cxnSp>
      <xdr:nvCxnSpPr>
        <xdr:cNvPr id="40" name="Straight Arrow Connector 39"/>
        <xdr:cNvCxnSpPr/>
      </xdr:nvCxnSpPr>
      <xdr:spPr>
        <a:xfrm>
          <a:off x="9782175" y="3616325"/>
          <a:ext cx="0" cy="5651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127000</xdr:colOff>
      <xdr:row>10</xdr:row>
      <xdr:rowOff>0</xdr:rowOff>
    </xdr:from>
    <xdr:to>
      <xdr:col>9</xdr:col>
      <xdr:colOff>127000</xdr:colOff>
      <xdr:row>13</xdr:row>
      <xdr:rowOff>25400</xdr:rowOff>
    </xdr:to>
    <xdr:cxnSp>
      <xdr:nvCxnSpPr>
        <xdr:cNvPr id="41" name="Straight Arrow Connector 40"/>
        <xdr:cNvCxnSpPr/>
      </xdr:nvCxnSpPr>
      <xdr:spPr>
        <a:xfrm>
          <a:off x="5041265" y="2066925"/>
          <a:ext cx="0" cy="59690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311150</xdr:colOff>
      <xdr:row>10</xdr:row>
      <xdr:rowOff>88900</xdr:rowOff>
    </xdr:from>
    <xdr:to>
      <xdr:col>12</xdr:col>
      <xdr:colOff>311150</xdr:colOff>
      <xdr:row>12</xdr:row>
      <xdr:rowOff>120650</xdr:rowOff>
    </xdr:to>
    <xdr:cxnSp>
      <xdr:nvCxnSpPr>
        <xdr:cNvPr id="42" name="Straight Arrow Connector 41"/>
        <xdr:cNvCxnSpPr/>
      </xdr:nvCxnSpPr>
      <xdr:spPr>
        <a:xfrm>
          <a:off x="6811645" y="2155825"/>
          <a:ext cx="0" cy="4127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190500</xdr:colOff>
      <xdr:row>17</xdr:row>
      <xdr:rowOff>177800</xdr:rowOff>
    </xdr:from>
    <xdr:to>
      <xdr:col>12</xdr:col>
      <xdr:colOff>196850</xdr:colOff>
      <xdr:row>20</xdr:row>
      <xdr:rowOff>171450</xdr:rowOff>
    </xdr:to>
    <xdr:cxnSp>
      <xdr:nvCxnSpPr>
        <xdr:cNvPr id="43" name="Straight Arrow Connector 42"/>
        <xdr:cNvCxnSpPr/>
      </xdr:nvCxnSpPr>
      <xdr:spPr>
        <a:xfrm flipH="1" flipV="1">
          <a:off x="6690995" y="3578225"/>
          <a:ext cx="6350" cy="56515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198120</xdr:colOff>
      <xdr:row>7</xdr:row>
      <xdr:rowOff>171450</xdr:rowOff>
    </xdr:from>
    <xdr:to>
      <xdr:col>4</xdr:col>
      <xdr:colOff>203200</xdr:colOff>
      <xdr:row>25</xdr:row>
      <xdr:rowOff>25400</xdr:rowOff>
    </xdr:to>
    <xdr:cxnSp>
      <xdr:nvCxnSpPr>
        <xdr:cNvPr id="2" name="Straight Connector 1"/>
        <xdr:cNvCxnSpPr/>
      </xdr:nvCxnSpPr>
      <xdr:spPr>
        <a:xfrm>
          <a:off x="2387600" y="1676400"/>
          <a:ext cx="5080" cy="32829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752475</xdr:colOff>
      <xdr:row>14</xdr:row>
      <xdr:rowOff>127000</xdr:rowOff>
    </xdr:from>
    <xdr:to>
      <xdr:col>4</xdr:col>
      <xdr:colOff>255270</xdr:colOff>
      <xdr:row>19</xdr:row>
      <xdr:rowOff>165100</xdr:rowOff>
    </xdr:to>
    <xdr:cxnSp>
      <xdr:nvCxnSpPr>
        <xdr:cNvPr id="3" name="Straight Connector 2"/>
        <xdr:cNvCxnSpPr/>
      </xdr:nvCxnSpPr>
      <xdr:spPr>
        <a:xfrm flipH="1">
          <a:off x="1214755" y="2965450"/>
          <a:ext cx="1229995" cy="9906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217170</xdr:colOff>
      <xdr:row>14</xdr:row>
      <xdr:rowOff>127000</xdr:rowOff>
    </xdr:from>
    <xdr:to>
      <xdr:col>6</xdr:col>
      <xdr:colOff>596900</xdr:colOff>
      <xdr:row>20</xdr:row>
      <xdr:rowOff>0</xdr:rowOff>
    </xdr:to>
    <xdr:cxnSp>
      <xdr:nvCxnSpPr>
        <xdr:cNvPr id="4" name="Straight Connector 3"/>
        <xdr:cNvCxnSpPr/>
      </xdr:nvCxnSpPr>
      <xdr:spPr>
        <a:xfrm>
          <a:off x="2406650" y="2965450"/>
          <a:ext cx="1250950" cy="10160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598170</xdr:colOff>
      <xdr:row>20</xdr:row>
      <xdr:rowOff>0</xdr:rowOff>
    </xdr:from>
    <xdr:to>
      <xdr:col>6</xdr:col>
      <xdr:colOff>598170</xdr:colOff>
      <xdr:row>22</xdr:row>
      <xdr:rowOff>38100</xdr:rowOff>
    </xdr:to>
    <xdr:cxnSp>
      <xdr:nvCxnSpPr>
        <xdr:cNvPr id="6" name="Straight Connector 5"/>
        <xdr:cNvCxnSpPr/>
      </xdr:nvCxnSpPr>
      <xdr:spPr>
        <a:xfrm>
          <a:off x="3658870" y="3981450"/>
          <a:ext cx="0" cy="4191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xdr:colOff>
      <xdr:row>7</xdr:row>
      <xdr:rowOff>146050</xdr:rowOff>
    </xdr:from>
    <xdr:to>
      <xdr:col>4</xdr:col>
      <xdr:colOff>209550</xdr:colOff>
      <xdr:row>7</xdr:row>
      <xdr:rowOff>152400</xdr:rowOff>
    </xdr:to>
    <xdr:cxnSp>
      <xdr:nvCxnSpPr>
        <xdr:cNvPr id="12" name="Straight Connector 11"/>
        <xdr:cNvCxnSpPr/>
      </xdr:nvCxnSpPr>
      <xdr:spPr>
        <a:xfrm>
          <a:off x="121285" y="1651000"/>
          <a:ext cx="2277745" cy="63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85090</xdr:colOff>
      <xdr:row>9</xdr:row>
      <xdr:rowOff>19050</xdr:rowOff>
    </xdr:from>
    <xdr:to>
      <xdr:col>6</xdr:col>
      <xdr:colOff>97790</xdr:colOff>
      <xdr:row>13</xdr:row>
      <xdr:rowOff>177800</xdr:rowOff>
    </xdr:to>
    <xdr:cxnSp>
      <xdr:nvCxnSpPr>
        <xdr:cNvPr id="14" name="Straight Connector 13"/>
        <xdr:cNvCxnSpPr/>
      </xdr:nvCxnSpPr>
      <xdr:spPr>
        <a:xfrm>
          <a:off x="3145790" y="1905000"/>
          <a:ext cx="12700" cy="9207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46990</xdr:colOff>
      <xdr:row>8</xdr:row>
      <xdr:rowOff>171450</xdr:rowOff>
    </xdr:from>
    <xdr:to>
      <xdr:col>6</xdr:col>
      <xdr:colOff>710565</xdr:colOff>
      <xdr:row>12</xdr:row>
      <xdr:rowOff>0</xdr:rowOff>
    </xdr:to>
    <xdr:cxnSp>
      <xdr:nvCxnSpPr>
        <xdr:cNvPr id="15" name="Straight Connector 14"/>
        <xdr:cNvCxnSpPr/>
      </xdr:nvCxnSpPr>
      <xdr:spPr>
        <a:xfrm>
          <a:off x="3107690" y="1866900"/>
          <a:ext cx="663575" cy="5905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110490</xdr:colOff>
      <xdr:row>11</xdr:row>
      <xdr:rowOff>171450</xdr:rowOff>
    </xdr:from>
    <xdr:to>
      <xdr:col>6</xdr:col>
      <xdr:colOff>748665</xdr:colOff>
      <xdr:row>14</xdr:row>
      <xdr:rowOff>12700</xdr:rowOff>
    </xdr:to>
    <xdr:cxnSp>
      <xdr:nvCxnSpPr>
        <xdr:cNvPr id="16" name="Straight Connector 15"/>
        <xdr:cNvCxnSpPr/>
      </xdr:nvCxnSpPr>
      <xdr:spPr>
        <a:xfrm flipV="1">
          <a:off x="3171190" y="2438400"/>
          <a:ext cx="633095" cy="4127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98425</xdr:colOff>
      <xdr:row>7</xdr:row>
      <xdr:rowOff>158750</xdr:rowOff>
    </xdr:from>
    <xdr:to>
      <xdr:col>10</xdr:col>
      <xdr:colOff>114300</xdr:colOff>
      <xdr:row>18</xdr:row>
      <xdr:rowOff>171450</xdr:rowOff>
    </xdr:to>
    <xdr:cxnSp>
      <xdr:nvCxnSpPr>
        <xdr:cNvPr id="17" name="Straight Connector 16"/>
        <xdr:cNvCxnSpPr/>
      </xdr:nvCxnSpPr>
      <xdr:spPr>
        <a:xfrm>
          <a:off x="5703570" y="1663700"/>
          <a:ext cx="15875" cy="21082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342265</xdr:colOff>
      <xdr:row>14</xdr:row>
      <xdr:rowOff>114300</xdr:rowOff>
    </xdr:from>
    <xdr:to>
      <xdr:col>10</xdr:col>
      <xdr:colOff>155575</xdr:colOff>
      <xdr:row>19</xdr:row>
      <xdr:rowOff>152400</xdr:rowOff>
    </xdr:to>
    <xdr:cxnSp>
      <xdr:nvCxnSpPr>
        <xdr:cNvPr id="18" name="Straight Connector 17"/>
        <xdr:cNvCxnSpPr/>
      </xdr:nvCxnSpPr>
      <xdr:spPr>
        <a:xfrm flipH="1">
          <a:off x="4661535" y="2952750"/>
          <a:ext cx="1099185" cy="9906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117475</xdr:colOff>
      <xdr:row>14</xdr:row>
      <xdr:rowOff>114300</xdr:rowOff>
    </xdr:from>
    <xdr:to>
      <xdr:col>13</xdr:col>
      <xdr:colOff>133350</xdr:colOff>
      <xdr:row>19</xdr:row>
      <xdr:rowOff>139700</xdr:rowOff>
    </xdr:to>
    <xdr:cxnSp>
      <xdr:nvCxnSpPr>
        <xdr:cNvPr id="19" name="Straight Connector 18"/>
        <xdr:cNvCxnSpPr/>
      </xdr:nvCxnSpPr>
      <xdr:spPr>
        <a:xfrm>
          <a:off x="5722620" y="2952750"/>
          <a:ext cx="1586230" cy="9779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351155</xdr:colOff>
      <xdr:row>22</xdr:row>
      <xdr:rowOff>31750</xdr:rowOff>
    </xdr:from>
    <xdr:to>
      <xdr:col>15</xdr:col>
      <xdr:colOff>520700</xdr:colOff>
      <xdr:row>22</xdr:row>
      <xdr:rowOff>38100</xdr:rowOff>
    </xdr:to>
    <xdr:cxnSp>
      <xdr:nvCxnSpPr>
        <xdr:cNvPr id="20" name="Straight Connector 19"/>
        <xdr:cNvCxnSpPr/>
      </xdr:nvCxnSpPr>
      <xdr:spPr>
        <a:xfrm>
          <a:off x="4670425" y="4394200"/>
          <a:ext cx="4480560" cy="63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95250</xdr:colOff>
      <xdr:row>7</xdr:row>
      <xdr:rowOff>152400</xdr:rowOff>
    </xdr:from>
    <xdr:to>
      <xdr:col>15</xdr:col>
      <xdr:colOff>414655</xdr:colOff>
      <xdr:row>7</xdr:row>
      <xdr:rowOff>158750</xdr:rowOff>
    </xdr:to>
    <xdr:cxnSp>
      <xdr:nvCxnSpPr>
        <xdr:cNvPr id="21" name="Straight Connector 20"/>
        <xdr:cNvCxnSpPr/>
      </xdr:nvCxnSpPr>
      <xdr:spPr>
        <a:xfrm flipV="1">
          <a:off x="5700395" y="1657350"/>
          <a:ext cx="3344545" cy="63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425450</xdr:colOff>
      <xdr:row>19</xdr:row>
      <xdr:rowOff>120650</xdr:rowOff>
    </xdr:from>
    <xdr:to>
      <xdr:col>20</xdr:col>
      <xdr:colOff>361950</xdr:colOff>
      <xdr:row>19</xdr:row>
      <xdr:rowOff>127000</xdr:rowOff>
    </xdr:to>
    <xdr:cxnSp>
      <xdr:nvCxnSpPr>
        <xdr:cNvPr id="22" name="Straight Connector 21"/>
        <xdr:cNvCxnSpPr/>
      </xdr:nvCxnSpPr>
      <xdr:spPr>
        <a:xfrm flipV="1">
          <a:off x="11351895" y="3911600"/>
          <a:ext cx="536575" cy="63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393700</xdr:colOff>
      <xdr:row>19</xdr:row>
      <xdr:rowOff>158750</xdr:rowOff>
    </xdr:from>
    <xdr:to>
      <xdr:col>8</xdr:col>
      <xdr:colOff>400050</xdr:colOff>
      <xdr:row>22</xdr:row>
      <xdr:rowOff>38100</xdr:rowOff>
    </xdr:to>
    <xdr:cxnSp>
      <xdr:nvCxnSpPr>
        <xdr:cNvPr id="23" name="Straight Connector 22"/>
        <xdr:cNvCxnSpPr/>
      </xdr:nvCxnSpPr>
      <xdr:spPr>
        <a:xfrm>
          <a:off x="4712970" y="3949700"/>
          <a:ext cx="6350" cy="4508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146050</xdr:colOff>
      <xdr:row>25</xdr:row>
      <xdr:rowOff>0</xdr:rowOff>
    </xdr:from>
    <xdr:to>
      <xdr:col>15</xdr:col>
      <xdr:colOff>501650</xdr:colOff>
      <xdr:row>25</xdr:row>
      <xdr:rowOff>50800</xdr:rowOff>
    </xdr:to>
    <xdr:cxnSp>
      <xdr:nvCxnSpPr>
        <xdr:cNvPr id="24" name="Straight Connector 23"/>
        <xdr:cNvCxnSpPr/>
      </xdr:nvCxnSpPr>
      <xdr:spPr>
        <a:xfrm flipV="1">
          <a:off x="5751195" y="4933950"/>
          <a:ext cx="3380740" cy="5080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796925</xdr:colOff>
      <xdr:row>17</xdr:row>
      <xdr:rowOff>95250</xdr:rowOff>
    </xdr:from>
    <xdr:to>
      <xdr:col>3</xdr:col>
      <xdr:colOff>277495</xdr:colOff>
      <xdr:row>18</xdr:row>
      <xdr:rowOff>127000</xdr:rowOff>
    </xdr:to>
    <xdr:cxnSp>
      <xdr:nvCxnSpPr>
        <xdr:cNvPr id="30" name="Straight Arrow Connector 29"/>
        <xdr:cNvCxnSpPr/>
      </xdr:nvCxnSpPr>
      <xdr:spPr>
        <a:xfrm flipH="1">
          <a:off x="1256030" y="3505200"/>
          <a:ext cx="277495" cy="22225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196215</xdr:colOff>
      <xdr:row>16</xdr:row>
      <xdr:rowOff>63500</xdr:rowOff>
    </xdr:from>
    <xdr:to>
      <xdr:col>6</xdr:col>
      <xdr:colOff>311150</xdr:colOff>
      <xdr:row>17</xdr:row>
      <xdr:rowOff>127000</xdr:rowOff>
    </xdr:to>
    <xdr:cxnSp>
      <xdr:nvCxnSpPr>
        <xdr:cNvPr id="31" name="Straight Arrow Connector 30"/>
        <xdr:cNvCxnSpPr/>
      </xdr:nvCxnSpPr>
      <xdr:spPr>
        <a:xfrm>
          <a:off x="3037205" y="3282950"/>
          <a:ext cx="334645" cy="25400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290195</xdr:colOff>
      <xdr:row>9</xdr:row>
      <xdr:rowOff>88900</xdr:rowOff>
    </xdr:from>
    <xdr:to>
      <xdr:col>10</xdr:col>
      <xdr:colOff>290195</xdr:colOff>
      <xdr:row>11</xdr:row>
      <xdr:rowOff>152400</xdr:rowOff>
    </xdr:to>
    <xdr:cxnSp>
      <xdr:nvCxnSpPr>
        <xdr:cNvPr id="32" name="Straight Arrow Connector 31"/>
        <xdr:cNvCxnSpPr/>
      </xdr:nvCxnSpPr>
      <xdr:spPr>
        <a:xfrm flipV="1">
          <a:off x="5895340" y="1974850"/>
          <a:ext cx="0" cy="44450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304800</xdr:colOff>
      <xdr:row>24</xdr:row>
      <xdr:rowOff>0</xdr:rowOff>
    </xdr:from>
    <xdr:to>
      <xdr:col>3</xdr:col>
      <xdr:colOff>48895</xdr:colOff>
      <xdr:row>24</xdr:row>
      <xdr:rowOff>0</xdr:rowOff>
    </xdr:to>
    <xdr:cxnSp>
      <xdr:nvCxnSpPr>
        <xdr:cNvPr id="33" name="Straight Arrow Connector 32"/>
        <xdr:cNvCxnSpPr/>
      </xdr:nvCxnSpPr>
      <xdr:spPr>
        <a:xfrm flipH="1">
          <a:off x="767080" y="4743450"/>
          <a:ext cx="537845" cy="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34925</xdr:colOff>
      <xdr:row>9</xdr:row>
      <xdr:rowOff>95250</xdr:rowOff>
    </xdr:from>
    <xdr:to>
      <xdr:col>4</xdr:col>
      <xdr:colOff>41275</xdr:colOff>
      <xdr:row>12</xdr:row>
      <xdr:rowOff>95250</xdr:rowOff>
    </xdr:to>
    <xdr:cxnSp>
      <xdr:nvCxnSpPr>
        <xdr:cNvPr id="35" name="Straight Arrow Connector 34"/>
        <xdr:cNvCxnSpPr/>
      </xdr:nvCxnSpPr>
      <xdr:spPr>
        <a:xfrm>
          <a:off x="2224405" y="1981200"/>
          <a:ext cx="6350" cy="57150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31750</xdr:colOff>
      <xdr:row>15</xdr:row>
      <xdr:rowOff>57150</xdr:rowOff>
    </xdr:from>
    <xdr:to>
      <xdr:col>9</xdr:col>
      <xdr:colOff>457200</xdr:colOff>
      <xdr:row>17</xdr:row>
      <xdr:rowOff>38100</xdr:rowOff>
    </xdr:to>
    <xdr:cxnSp>
      <xdr:nvCxnSpPr>
        <xdr:cNvPr id="36" name="Straight Arrow Connector 35"/>
        <xdr:cNvCxnSpPr/>
      </xdr:nvCxnSpPr>
      <xdr:spPr>
        <a:xfrm flipV="1">
          <a:off x="4987290" y="3086100"/>
          <a:ext cx="425450" cy="36195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217805</xdr:colOff>
      <xdr:row>15</xdr:row>
      <xdr:rowOff>25400</xdr:rowOff>
    </xdr:from>
    <xdr:to>
      <xdr:col>11</xdr:col>
      <xdr:colOff>636905</xdr:colOff>
      <xdr:row>16</xdr:row>
      <xdr:rowOff>82550</xdr:rowOff>
    </xdr:to>
    <xdr:cxnSp>
      <xdr:nvCxnSpPr>
        <xdr:cNvPr id="37" name="Straight Arrow Connector 36"/>
        <xdr:cNvCxnSpPr/>
      </xdr:nvCxnSpPr>
      <xdr:spPr>
        <a:xfrm flipH="1" flipV="1">
          <a:off x="6125845" y="3054350"/>
          <a:ext cx="415925" cy="24765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88900</xdr:colOff>
      <xdr:row>18</xdr:row>
      <xdr:rowOff>171450</xdr:rowOff>
    </xdr:from>
    <xdr:to>
      <xdr:col>10</xdr:col>
      <xdr:colOff>174625</xdr:colOff>
      <xdr:row>20</xdr:row>
      <xdr:rowOff>88900</xdr:rowOff>
    </xdr:to>
    <xdr:sp>
      <xdr:nvSpPr>
        <xdr:cNvPr id="43" name="Rectangles 42"/>
        <xdr:cNvSpPr/>
      </xdr:nvSpPr>
      <xdr:spPr>
        <a:xfrm>
          <a:off x="5694045" y="3771900"/>
          <a:ext cx="85725" cy="2984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en-US" sz="1100"/>
        </a:p>
      </xdr:txBody>
    </xdr:sp>
    <xdr:clientData/>
  </xdr:twoCellAnchor>
  <xdr:twoCellAnchor>
    <xdr:from>
      <xdr:col>1</xdr:col>
      <xdr:colOff>63500</xdr:colOff>
      <xdr:row>19</xdr:row>
      <xdr:rowOff>139700</xdr:rowOff>
    </xdr:from>
    <xdr:to>
      <xdr:col>2</xdr:col>
      <xdr:colOff>762000</xdr:colOff>
      <xdr:row>19</xdr:row>
      <xdr:rowOff>146050</xdr:rowOff>
    </xdr:to>
    <xdr:cxnSp>
      <xdr:nvCxnSpPr>
        <xdr:cNvPr id="44" name="Straight Connector 43"/>
        <xdr:cNvCxnSpPr/>
      </xdr:nvCxnSpPr>
      <xdr:spPr>
        <a:xfrm flipH="1">
          <a:off x="179070" y="3930650"/>
          <a:ext cx="1045210" cy="6350"/>
        </a:xfrm>
        <a:prstGeom prst="line">
          <a:avLst/>
        </a:prstGeom>
        <a:solidFill>
          <a:schemeClr val="tx1"/>
        </a:solidFill>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25400</xdr:colOff>
      <xdr:row>22</xdr:row>
      <xdr:rowOff>31750</xdr:rowOff>
    </xdr:from>
    <xdr:to>
      <xdr:col>6</xdr:col>
      <xdr:colOff>609600</xdr:colOff>
      <xdr:row>22</xdr:row>
      <xdr:rowOff>38100</xdr:rowOff>
    </xdr:to>
    <xdr:cxnSp>
      <xdr:nvCxnSpPr>
        <xdr:cNvPr id="45" name="Straight Connector 44"/>
        <xdr:cNvCxnSpPr/>
      </xdr:nvCxnSpPr>
      <xdr:spPr>
        <a:xfrm flipH="1">
          <a:off x="140970" y="4394200"/>
          <a:ext cx="3529330" cy="6350"/>
        </a:xfrm>
        <a:prstGeom prst="line">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25</xdr:row>
      <xdr:rowOff>44450</xdr:rowOff>
    </xdr:from>
    <xdr:to>
      <xdr:col>4</xdr:col>
      <xdr:colOff>203200</xdr:colOff>
      <xdr:row>25</xdr:row>
      <xdr:rowOff>50800</xdr:rowOff>
    </xdr:to>
    <xdr:cxnSp>
      <xdr:nvCxnSpPr>
        <xdr:cNvPr id="46" name="Straight Connector 45"/>
        <xdr:cNvCxnSpPr/>
      </xdr:nvCxnSpPr>
      <xdr:spPr>
        <a:xfrm flipH="1" flipV="1">
          <a:off x="95250" y="4978400"/>
          <a:ext cx="2297430" cy="6350"/>
        </a:xfrm>
        <a:prstGeom prst="line">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114300</xdr:colOff>
      <xdr:row>19</xdr:row>
      <xdr:rowOff>139700</xdr:rowOff>
    </xdr:from>
    <xdr:to>
      <xdr:col>15</xdr:col>
      <xdr:colOff>501650</xdr:colOff>
      <xdr:row>19</xdr:row>
      <xdr:rowOff>139700</xdr:rowOff>
    </xdr:to>
    <xdr:cxnSp>
      <xdr:nvCxnSpPr>
        <xdr:cNvPr id="48" name="Straight Connector 47"/>
        <xdr:cNvCxnSpPr/>
      </xdr:nvCxnSpPr>
      <xdr:spPr>
        <a:xfrm>
          <a:off x="7289800" y="3930650"/>
          <a:ext cx="1842135" cy="0"/>
        </a:xfrm>
        <a:prstGeom prst="line">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132080</xdr:colOff>
      <xdr:row>20</xdr:row>
      <xdr:rowOff>88900</xdr:rowOff>
    </xdr:from>
    <xdr:to>
      <xdr:col>10</xdr:col>
      <xdr:colOff>139700</xdr:colOff>
      <xdr:row>25</xdr:row>
      <xdr:rowOff>31750</xdr:rowOff>
    </xdr:to>
    <xdr:cxnSp>
      <xdr:nvCxnSpPr>
        <xdr:cNvPr id="49" name="Straight Connector 48"/>
        <xdr:cNvCxnSpPr>
          <a:stCxn id="43" idx="2"/>
        </xdr:cNvCxnSpPr>
      </xdr:nvCxnSpPr>
      <xdr:spPr>
        <a:xfrm>
          <a:off x="5737225" y="4070350"/>
          <a:ext cx="7620" cy="895350"/>
        </a:xfrm>
        <a:prstGeom prst="line">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7</xdr:row>
      <xdr:rowOff>171450</xdr:rowOff>
    </xdr:from>
    <xdr:to>
      <xdr:col>14</xdr:col>
      <xdr:colOff>19050</xdr:colOff>
      <xdr:row>25</xdr:row>
      <xdr:rowOff>12700</xdr:rowOff>
    </xdr:to>
    <xdr:cxnSp>
      <xdr:nvCxnSpPr>
        <xdr:cNvPr id="50" name="Straight Connector 49"/>
        <xdr:cNvCxnSpPr/>
      </xdr:nvCxnSpPr>
      <xdr:spPr>
        <a:xfrm>
          <a:off x="8030210" y="1676400"/>
          <a:ext cx="19050" cy="3270250"/>
        </a:xfrm>
        <a:prstGeom prst="line">
          <a:avLst/>
        </a:prstGeom>
        <a:solidFill>
          <a:schemeClr val="tx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138430</xdr:colOff>
      <xdr:row>10</xdr:row>
      <xdr:rowOff>38100</xdr:rowOff>
    </xdr:from>
    <xdr:to>
      <xdr:col>14</xdr:col>
      <xdr:colOff>144780</xdr:colOff>
      <xdr:row>13</xdr:row>
      <xdr:rowOff>38100</xdr:rowOff>
    </xdr:to>
    <xdr:cxnSp>
      <xdr:nvCxnSpPr>
        <xdr:cNvPr id="51" name="Straight Arrow Connector 50"/>
        <xdr:cNvCxnSpPr/>
      </xdr:nvCxnSpPr>
      <xdr:spPr>
        <a:xfrm>
          <a:off x="8168640" y="2114550"/>
          <a:ext cx="6350" cy="57150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355600</xdr:colOff>
      <xdr:row>17</xdr:row>
      <xdr:rowOff>38100</xdr:rowOff>
    </xdr:from>
    <xdr:to>
      <xdr:col>4</xdr:col>
      <xdr:colOff>355600</xdr:colOff>
      <xdr:row>20</xdr:row>
      <xdr:rowOff>31750</xdr:rowOff>
    </xdr:to>
    <xdr:cxnSp>
      <xdr:nvCxnSpPr>
        <xdr:cNvPr id="52" name="Straight Arrow Connector 51"/>
        <xdr:cNvCxnSpPr/>
      </xdr:nvCxnSpPr>
      <xdr:spPr>
        <a:xfrm>
          <a:off x="2545080" y="3448050"/>
          <a:ext cx="0" cy="56515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213995</xdr:colOff>
      <xdr:row>9</xdr:row>
      <xdr:rowOff>171450</xdr:rowOff>
    </xdr:from>
    <xdr:to>
      <xdr:col>5</xdr:col>
      <xdr:colOff>213995</xdr:colOff>
      <xdr:row>12</xdr:row>
      <xdr:rowOff>50800</xdr:rowOff>
    </xdr:to>
    <xdr:cxnSp>
      <xdr:nvCxnSpPr>
        <xdr:cNvPr id="53" name="Straight Arrow Connector 52"/>
        <xdr:cNvCxnSpPr/>
      </xdr:nvCxnSpPr>
      <xdr:spPr>
        <a:xfrm flipV="1">
          <a:off x="3054985" y="2057400"/>
          <a:ext cx="0" cy="450850"/>
        </a:xfrm>
        <a:prstGeom prst="straightConnector1">
          <a:avLst/>
        </a:prstGeom>
        <a:solidFill>
          <a:schemeClr val="tx1"/>
        </a:solidFill>
        <a:ln>
          <a:solidFill>
            <a:sysClr val="windowText" lastClr="000000"/>
          </a:solidFill>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T32"/>
  <sheetViews>
    <sheetView topLeftCell="B1" workbookViewId="0">
      <selection activeCell="N11" sqref="N11"/>
    </sheetView>
  </sheetViews>
  <sheetFormatPr defaultColWidth="9" defaultRowHeight="15"/>
  <cols>
    <col min="1" max="1" width="1.73333333333333" customWidth="1"/>
    <col min="2" max="2" width="5.2" customWidth="1"/>
    <col min="3" max="3" width="11.9047619047619" customWidth="1"/>
    <col min="5" max="5" width="9.77142857142857" customWidth="1"/>
    <col min="6" max="6" width="3.29523809523809" customWidth="1"/>
    <col min="7" max="7" width="11.152380952381" customWidth="1"/>
    <col min="8" max="8" width="7.72380952380952" customWidth="1"/>
    <col min="9" max="9" width="9.54285714285714" customWidth="1"/>
    <col min="10" max="10" width="9.74285714285714" customWidth="1"/>
    <col min="11" max="11" width="3.55238095238095" customWidth="1"/>
    <col min="12" max="13" width="9.5047619047619" customWidth="1"/>
    <col min="15" max="15" width="9" customWidth="1"/>
    <col min="16" max="16" width="8.42857142857143" customWidth="1"/>
    <col min="17" max="17" width="3.32380952380952" customWidth="1"/>
    <col min="18" max="18" width="12.8190476190476"/>
    <col min="19" max="19" width="8.68571428571429" customWidth="1"/>
  </cols>
  <sheetData>
    <row r="1" spans="3:18">
      <c r="C1" t="s">
        <v>0</v>
      </c>
      <c r="D1">
        <v>100</v>
      </c>
      <c r="E1" t="s">
        <v>1</v>
      </c>
      <c r="I1">
        <v>220</v>
      </c>
      <c r="J1" t="s">
        <v>2</v>
      </c>
      <c r="M1">
        <f>I1</f>
        <v>220</v>
      </c>
      <c r="N1">
        <v>132</v>
      </c>
      <c r="R1">
        <f>N1</f>
        <v>132</v>
      </c>
    </row>
    <row r="2" ht="15.75" spans="3:19">
      <c r="C2" s="13" t="s">
        <v>3</v>
      </c>
      <c r="D2" s="14"/>
      <c r="E2" s="15"/>
      <c r="F2" s="16"/>
      <c r="G2" s="17" t="s">
        <v>4</v>
      </c>
      <c r="H2" s="18"/>
      <c r="I2" s="18"/>
      <c r="J2" s="44"/>
      <c r="K2" s="45"/>
      <c r="L2" s="46" t="s">
        <v>5</v>
      </c>
      <c r="M2" s="47"/>
      <c r="N2" s="47"/>
      <c r="O2" s="47"/>
      <c r="P2" s="48"/>
      <c r="Q2" s="68"/>
      <c r="R2" s="69" t="s">
        <v>6</v>
      </c>
      <c r="S2" s="69"/>
    </row>
    <row r="3" ht="27" customHeight="1" spans="3:19">
      <c r="C3" s="19" t="s">
        <v>7</v>
      </c>
      <c r="D3" s="20"/>
      <c r="E3" s="21" t="s">
        <v>8</v>
      </c>
      <c r="F3" s="22"/>
      <c r="G3" s="23" t="s">
        <v>9</v>
      </c>
      <c r="H3" s="24" t="s">
        <v>10</v>
      </c>
      <c r="I3" s="24" t="s">
        <v>11</v>
      </c>
      <c r="J3" s="49" t="s">
        <v>12</v>
      </c>
      <c r="K3" s="22"/>
      <c r="L3" s="50" t="s">
        <v>13</v>
      </c>
      <c r="M3" s="51"/>
      <c r="N3" s="51" t="s">
        <v>14</v>
      </c>
      <c r="O3" s="51" t="s">
        <v>15</v>
      </c>
      <c r="P3" s="52"/>
      <c r="Q3" s="22"/>
      <c r="R3" s="70" t="s">
        <v>7</v>
      </c>
      <c r="S3" s="71" t="s">
        <v>8</v>
      </c>
    </row>
    <row r="4" spans="2:19">
      <c r="B4" t="s">
        <v>16</v>
      </c>
      <c r="C4" s="25">
        <v>10258</v>
      </c>
      <c r="D4" s="26" t="s">
        <v>17</v>
      </c>
      <c r="E4" s="27">
        <f>100/C4</f>
        <v>0.00974848898420745</v>
      </c>
      <c r="F4" s="28"/>
      <c r="G4" s="29">
        <v>0.4</v>
      </c>
      <c r="H4" s="30">
        <v>100</v>
      </c>
      <c r="I4" s="30">
        <v>220</v>
      </c>
      <c r="J4" s="53">
        <f>(G4*H4)/(I4^2/100)</f>
        <v>0.0826446280991736</v>
      </c>
      <c r="K4" s="28"/>
      <c r="L4" s="54">
        <v>50</v>
      </c>
      <c r="M4" s="55" t="s">
        <v>18</v>
      </c>
      <c r="N4" s="56">
        <v>0.15</v>
      </c>
      <c r="O4" s="57">
        <f t="shared" ref="O4:O6" si="0">100/L4*N4</f>
        <v>0.3</v>
      </c>
      <c r="P4" s="58"/>
      <c r="Q4" s="28"/>
      <c r="R4" s="72">
        <v>5000</v>
      </c>
      <c r="S4" s="73">
        <f>100/R4</f>
        <v>0.02</v>
      </c>
    </row>
    <row r="5" ht="15.75" spans="2:19">
      <c r="B5" t="s">
        <v>19</v>
      </c>
      <c r="C5" s="150">
        <v>12025</v>
      </c>
      <c r="D5" s="31" t="s">
        <v>20</v>
      </c>
      <c r="E5" s="151">
        <f>300/C5-E4*2</f>
        <v>0.00545104697961005</v>
      </c>
      <c r="F5" s="28"/>
      <c r="G5" s="33">
        <v>1.264</v>
      </c>
      <c r="H5" s="34">
        <f t="shared" ref="H5:L5" si="1">H4</f>
        <v>100</v>
      </c>
      <c r="I5" s="34">
        <f t="shared" si="1"/>
        <v>220</v>
      </c>
      <c r="J5" s="59">
        <f>(G5*H5)/(I5^2/100)</f>
        <v>0.261157024793388</v>
      </c>
      <c r="K5" s="28"/>
      <c r="L5" s="54"/>
      <c r="M5" s="55"/>
      <c r="N5" s="56"/>
      <c r="O5" s="55"/>
      <c r="P5" s="152"/>
      <c r="Q5" s="28"/>
      <c r="R5" s="74">
        <v>4000</v>
      </c>
      <c r="S5" s="75">
        <f>300/R5-S4*2</f>
        <v>0.035</v>
      </c>
    </row>
    <row r="6" spans="3:19">
      <c r="C6" s="26"/>
      <c r="D6" s="26"/>
      <c r="E6" s="26"/>
      <c r="F6" s="28"/>
      <c r="G6" s="30"/>
      <c r="H6" s="30"/>
      <c r="I6" s="30"/>
      <c r="J6" s="61"/>
      <c r="K6" s="28"/>
      <c r="L6" s="62"/>
      <c r="M6" s="63"/>
      <c r="N6" s="64"/>
      <c r="O6" s="63"/>
      <c r="P6" s="65"/>
      <c r="Q6" s="28"/>
      <c r="R6" s="76"/>
      <c r="S6" s="76"/>
    </row>
    <row r="7" spans="5:16">
      <c r="E7" s="28"/>
      <c r="F7" s="28"/>
      <c r="G7" s="28"/>
      <c r="H7" s="28" t="s">
        <v>21</v>
      </c>
      <c r="I7" s="35">
        <f>100/1.732/I4*1000</f>
        <v>262.439638883057</v>
      </c>
      <c r="J7" s="28"/>
      <c r="K7" s="28" t="s">
        <v>22</v>
      </c>
      <c r="L7" s="28"/>
      <c r="M7" s="28"/>
      <c r="N7" s="28" t="s">
        <v>23</v>
      </c>
      <c r="O7" s="35">
        <f>100/1.732/N1*1000</f>
        <v>437.399398138428</v>
      </c>
      <c r="P7" s="28"/>
    </row>
    <row r="8" spans="3:16">
      <c r="C8" t="s">
        <v>24</v>
      </c>
      <c r="E8" s="40">
        <f>E4+J4</f>
        <v>0.092393117083381</v>
      </c>
      <c r="F8" s="28"/>
      <c r="G8" s="28"/>
      <c r="H8" s="28"/>
      <c r="I8" s="28"/>
      <c r="J8" s="28"/>
      <c r="K8" s="28"/>
      <c r="L8" s="28">
        <f>O4+S4</f>
        <v>0.32</v>
      </c>
      <c r="M8" s="28"/>
      <c r="N8" s="28"/>
      <c r="O8" s="28"/>
      <c r="P8" s="28"/>
    </row>
    <row r="9" spans="3:16">
      <c r="C9" t="s">
        <v>25</v>
      </c>
      <c r="E9" s="43">
        <f>L8/(E8+L8)</f>
        <v>0.775958634477645</v>
      </c>
      <c r="F9" s="28"/>
      <c r="G9" s="28"/>
      <c r="H9" s="28"/>
      <c r="I9" s="28"/>
      <c r="J9" s="28"/>
      <c r="K9" s="28"/>
      <c r="L9" s="40">
        <f>E8/(E8+L8)</f>
        <v>0.224041365522355</v>
      </c>
      <c r="M9" s="43"/>
      <c r="N9" s="28"/>
      <c r="O9" s="28"/>
      <c r="P9" s="66"/>
    </row>
    <row r="10" spans="3:18">
      <c r="C10" t="s">
        <v>26</v>
      </c>
      <c r="E10" s="40">
        <f>E5+J5</f>
        <v>0.266608071772999</v>
      </c>
      <c r="F10" s="28"/>
      <c r="G10" s="28"/>
      <c r="H10" s="28"/>
      <c r="I10" s="28"/>
      <c r="J10" s="28"/>
      <c r="K10" s="28"/>
      <c r="L10" s="42">
        <f>O4+S5</f>
        <v>0.335</v>
      </c>
      <c r="M10" s="28"/>
      <c r="N10" s="28"/>
      <c r="O10" s="42"/>
      <c r="P10" s="28"/>
      <c r="Q10" s="28"/>
      <c r="R10" s="28"/>
    </row>
    <row r="11" spans="3:20">
      <c r="C11" t="s">
        <v>25</v>
      </c>
      <c r="E11" s="43">
        <f>L10/(E10+L10)</f>
        <v>0.556840933022593</v>
      </c>
      <c r="F11" s="28"/>
      <c r="G11" s="28"/>
      <c r="H11" s="28"/>
      <c r="I11" s="28"/>
      <c r="J11" s="28"/>
      <c r="K11" s="28"/>
      <c r="L11" s="43">
        <f>E10/(E10+L10)</f>
        <v>0.443159066977407</v>
      </c>
      <c r="M11" s="43"/>
      <c r="N11" s="28"/>
      <c r="O11" s="28"/>
      <c r="P11" s="28"/>
      <c r="Q11" s="40"/>
      <c r="R11" s="28"/>
      <c r="T11" s="77"/>
    </row>
    <row r="12" spans="3:20">
      <c r="C12" t="s">
        <v>24</v>
      </c>
      <c r="E12" s="28"/>
      <c r="F12" s="28"/>
      <c r="G12" s="28"/>
      <c r="H12" s="28">
        <f>E8*L8/(E8+L8)</f>
        <v>0.0716932369671535</v>
      </c>
      <c r="I12" s="28"/>
      <c r="J12" s="28"/>
      <c r="K12" s="28"/>
      <c r="L12" s="28"/>
      <c r="M12" s="28"/>
      <c r="N12" s="28"/>
      <c r="O12" s="28"/>
      <c r="P12" s="28"/>
      <c r="Q12" s="40"/>
      <c r="R12" s="40"/>
      <c r="S12" s="40"/>
      <c r="T12" s="40"/>
    </row>
    <row r="13" spans="3:20">
      <c r="C13" t="s">
        <v>26</v>
      </c>
      <c r="E13" s="28"/>
      <c r="F13" s="28"/>
      <c r="G13" s="28"/>
      <c r="H13" s="28">
        <f>E10*L10/(E10+L10)</f>
        <v>0.148458287437431</v>
      </c>
      <c r="I13" s="28"/>
      <c r="J13" s="28"/>
      <c r="K13" s="28"/>
      <c r="L13" s="28"/>
      <c r="M13" s="28"/>
      <c r="N13" s="28"/>
      <c r="O13" s="28"/>
      <c r="P13" s="28"/>
      <c r="Q13" s="40"/>
      <c r="R13" s="40"/>
      <c r="S13" s="77"/>
      <c r="T13" s="77"/>
    </row>
    <row r="14" spans="3:18">
      <c r="C14" t="s">
        <v>27</v>
      </c>
      <c r="E14" s="28"/>
      <c r="F14" s="28"/>
      <c r="G14" s="28"/>
      <c r="H14" s="28">
        <f>H12*2+H13</f>
        <v>0.291844761371738</v>
      </c>
      <c r="I14" s="28"/>
      <c r="J14" s="28"/>
      <c r="K14" s="28"/>
      <c r="L14" s="28"/>
      <c r="M14" s="28"/>
      <c r="N14" s="28"/>
      <c r="O14" s="28"/>
      <c r="P14" s="28"/>
      <c r="Q14" s="28"/>
      <c r="R14" s="28"/>
    </row>
    <row r="15" spans="5:20">
      <c r="E15" s="28"/>
      <c r="F15" s="28"/>
      <c r="G15" s="28"/>
      <c r="H15" s="28"/>
      <c r="I15" s="28"/>
      <c r="J15" s="28"/>
      <c r="K15" s="28"/>
      <c r="L15" s="28"/>
      <c r="M15" s="28"/>
      <c r="N15" s="28"/>
      <c r="O15" s="28"/>
      <c r="P15" s="28"/>
      <c r="Q15" s="40"/>
      <c r="R15" s="40"/>
      <c r="T15" s="40"/>
    </row>
    <row r="16" spans="3:20">
      <c r="C16" t="s">
        <v>28</v>
      </c>
      <c r="E16" s="28"/>
      <c r="F16" s="28"/>
      <c r="G16" s="28"/>
      <c r="H16" s="28">
        <f>1/H14</f>
        <v>3.42647918468629</v>
      </c>
      <c r="I16" s="28"/>
      <c r="J16" s="28" t="s">
        <v>29</v>
      </c>
      <c r="K16" s="28"/>
      <c r="L16" s="28" t="s">
        <v>1</v>
      </c>
      <c r="M16" s="28"/>
      <c r="N16" s="28"/>
      <c r="O16" s="28"/>
      <c r="P16" s="28"/>
      <c r="Q16" s="40"/>
      <c r="R16" s="40"/>
      <c r="T16" s="40"/>
    </row>
    <row r="17" spans="3:20">
      <c r="C17" t="s">
        <v>30</v>
      </c>
      <c r="E17" s="28"/>
      <c r="F17" s="28"/>
      <c r="G17" s="28"/>
      <c r="H17" s="28">
        <f>H16*3</f>
        <v>10.2794375540589</v>
      </c>
      <c r="I17" s="28"/>
      <c r="J17" s="35">
        <f>H17*I7</f>
        <v>2697.73187960815</v>
      </c>
      <c r="K17" s="28"/>
      <c r="L17" s="35">
        <f>1.32*I4*J17/1000</f>
        <v>783.421337838206</v>
      </c>
      <c r="M17" s="35"/>
      <c r="N17" s="28"/>
      <c r="O17" s="28"/>
      <c r="P17" s="28"/>
      <c r="Q17" s="40"/>
      <c r="R17" s="40"/>
      <c r="T17" s="40"/>
    </row>
    <row r="18" spans="5:14">
      <c r="E18" s="28" t="s">
        <v>31</v>
      </c>
      <c r="F18" s="28"/>
      <c r="G18" s="28"/>
      <c r="H18" s="28"/>
      <c r="I18" s="28"/>
      <c r="J18" s="28"/>
      <c r="K18" s="28"/>
      <c r="L18" s="28" t="s">
        <v>32</v>
      </c>
      <c r="M18" s="28"/>
      <c r="N18" s="28"/>
    </row>
    <row r="19" spans="3:14">
      <c r="C19" t="s">
        <v>33</v>
      </c>
      <c r="D19" t="s">
        <v>34</v>
      </c>
      <c r="E19" s="40">
        <f>E9*H16</f>
        <v>2.65880610921525</v>
      </c>
      <c r="F19" s="28"/>
      <c r="G19" s="28"/>
      <c r="H19" s="28"/>
      <c r="I19" s="28"/>
      <c r="J19" s="28"/>
      <c r="K19" s="28"/>
      <c r="L19" s="40">
        <f>L9*H16</f>
        <v>0.767673075471042</v>
      </c>
      <c r="M19" s="40"/>
      <c r="N19" s="28"/>
    </row>
    <row r="20" spans="4:20">
      <c r="D20" t="s">
        <v>35</v>
      </c>
      <c r="E20" s="40">
        <f>E19</f>
        <v>2.65880610921525</v>
      </c>
      <c r="F20" s="28"/>
      <c r="G20" s="28"/>
      <c r="H20" s="28"/>
      <c r="I20" s="28"/>
      <c r="J20" s="28"/>
      <c r="K20" s="28"/>
      <c r="L20" s="40">
        <f>L19</f>
        <v>0.767673075471042</v>
      </c>
      <c r="M20" s="40"/>
      <c r="N20" s="28"/>
      <c r="Q20" s="2"/>
      <c r="R20" s="2"/>
      <c r="T20" s="2"/>
    </row>
    <row r="21" spans="4:20">
      <c r="D21" t="s">
        <v>36</v>
      </c>
      <c r="E21" s="40">
        <f>E11*H16</f>
        <v>1.90800386618321</v>
      </c>
      <c r="F21" s="40"/>
      <c r="G21" s="40"/>
      <c r="H21" s="40"/>
      <c r="I21" s="40"/>
      <c r="J21" s="40"/>
      <c r="K21" s="40"/>
      <c r="L21" s="40">
        <f>L11*H16</f>
        <v>1.51847531850308</v>
      </c>
      <c r="M21" s="40"/>
      <c r="N21" s="28"/>
      <c r="Q21" s="2"/>
      <c r="R21" s="2"/>
      <c r="T21" s="2"/>
    </row>
    <row r="22" spans="5:20">
      <c r="E22" s="28"/>
      <c r="F22" s="28"/>
      <c r="H22" s="28"/>
      <c r="I22" s="28"/>
      <c r="J22" s="28"/>
      <c r="K22" s="28"/>
      <c r="L22" s="28"/>
      <c r="Q22" s="2"/>
      <c r="R22" s="2"/>
      <c r="T22" s="2"/>
    </row>
    <row r="23" spans="4:12">
      <c r="D23" t="s">
        <v>37</v>
      </c>
      <c r="E23" s="40">
        <f>E19+E20+E21</f>
        <v>7.22561608461371</v>
      </c>
      <c r="F23" s="28"/>
      <c r="H23" s="28"/>
      <c r="I23" s="28"/>
      <c r="J23" s="28"/>
      <c r="K23" s="28"/>
      <c r="L23" s="40">
        <f>L19+L20+L21</f>
        <v>3.05382146944517</v>
      </c>
    </row>
    <row r="24" spans="4:12">
      <c r="D24" t="s">
        <v>38</v>
      </c>
      <c r="E24" s="40">
        <f>E21-E19</f>
        <v>-0.750802243032042</v>
      </c>
      <c r="F24" s="40"/>
      <c r="H24" s="40"/>
      <c r="I24" s="40"/>
      <c r="J24" s="40"/>
      <c r="K24" s="40"/>
      <c r="L24" s="40">
        <f>L21-L19</f>
        <v>0.750802243032042</v>
      </c>
    </row>
    <row r="25" spans="4:12">
      <c r="D25" t="s">
        <v>39</v>
      </c>
      <c r="E25" s="40">
        <f>E24</f>
        <v>-0.750802243032042</v>
      </c>
      <c r="F25" s="40"/>
      <c r="H25" s="40"/>
      <c r="I25" s="40"/>
      <c r="J25" s="40"/>
      <c r="K25" s="40"/>
      <c r="L25" s="40">
        <f>L24</f>
        <v>0.750802243032042</v>
      </c>
    </row>
    <row r="27" spans="5:12">
      <c r="E27" s="28" t="s">
        <v>29</v>
      </c>
      <c r="L27" s="28" t="s">
        <v>29</v>
      </c>
    </row>
    <row r="28" spans="4:12">
      <c r="D28" t="s">
        <v>37</v>
      </c>
      <c r="E28" s="35">
        <f t="shared" ref="E28:E30" si="2">E23*$I$7</f>
        <v>1896.28807595363</v>
      </c>
      <c r="L28" s="35">
        <f t="shared" ref="L28:L30" si="3">L23*$I$7</f>
        <v>801.443803654516</v>
      </c>
    </row>
    <row r="29" spans="4:12">
      <c r="D29" t="s">
        <v>38</v>
      </c>
      <c r="E29" s="35">
        <f t="shared" si="2"/>
        <v>-197.040269533918</v>
      </c>
      <c r="L29" s="35">
        <f t="shared" si="3"/>
        <v>197.040269533918</v>
      </c>
    </row>
    <row r="30" spans="4:12">
      <c r="D30" t="s">
        <v>39</v>
      </c>
      <c r="E30" s="35">
        <f t="shared" si="2"/>
        <v>-197.040269533918</v>
      </c>
      <c r="L30" s="35">
        <f t="shared" si="3"/>
        <v>197.040269533918</v>
      </c>
    </row>
    <row r="32" spans="4:7">
      <c r="D32" t="s">
        <v>40</v>
      </c>
      <c r="G32" s="2">
        <f>H17*I7</f>
        <v>2697.73187960815</v>
      </c>
    </row>
  </sheetData>
  <mergeCells count="4">
    <mergeCell ref="C2:E2"/>
    <mergeCell ref="G2:J2"/>
    <mergeCell ref="L2:O2"/>
    <mergeCell ref="R2:S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W66"/>
  <sheetViews>
    <sheetView tabSelected="1" workbookViewId="0">
      <selection activeCell="R12" sqref="R12"/>
    </sheetView>
  </sheetViews>
  <sheetFormatPr defaultColWidth="9" defaultRowHeight="15"/>
  <cols>
    <col min="1" max="1" width="1.73333333333333" customWidth="1"/>
    <col min="2" max="2" width="5.2" customWidth="1"/>
    <col min="3" max="3" width="11.9047619047619" customWidth="1"/>
    <col min="4" max="4" width="12.8190476190476"/>
    <col min="5" max="5" width="9.77142857142857" customWidth="1"/>
    <col min="6" max="6" width="3.85714285714286" customWidth="1"/>
    <col min="7" max="7" width="11.152380952381" customWidth="1"/>
    <col min="8" max="8" width="7.72380952380952" customWidth="1"/>
    <col min="9" max="9" width="9.54285714285714" customWidth="1"/>
    <col min="10" max="10" width="9.74285714285714" customWidth="1"/>
    <col min="11" max="11" width="4.54285714285714" customWidth="1"/>
    <col min="12" max="13" width="9.5047619047619" customWidth="1"/>
    <col min="14" max="14" width="12.8190476190476"/>
    <col min="15" max="15" width="9" customWidth="1"/>
    <col min="16" max="16" width="8.42857142857143" customWidth="1"/>
    <col min="17" max="17" width="7.27619047619048" customWidth="1"/>
    <col min="18" max="18" width="14"/>
    <col min="19" max="19" width="8.68571428571429" customWidth="1"/>
    <col min="20" max="20" width="11.7238095238095"/>
    <col min="22" max="22" width="14"/>
  </cols>
  <sheetData>
    <row r="1" spans="2:19">
      <c r="B1" s="78"/>
      <c r="C1" s="79" t="s">
        <v>0</v>
      </c>
      <c r="D1" s="80">
        <v>100</v>
      </c>
      <c r="E1" s="78" t="s">
        <v>1</v>
      </c>
      <c r="F1" s="78"/>
      <c r="G1" s="78"/>
      <c r="H1" s="78"/>
      <c r="I1" s="114">
        <v>220</v>
      </c>
      <c r="J1" s="78" t="s">
        <v>2</v>
      </c>
      <c r="K1" s="78"/>
      <c r="L1" s="78"/>
      <c r="M1" s="114">
        <f>I1</f>
        <v>220</v>
      </c>
      <c r="N1" s="114">
        <v>110</v>
      </c>
      <c r="O1" s="114">
        <v>33</v>
      </c>
      <c r="P1" s="78" t="s">
        <v>2</v>
      </c>
      <c r="Q1" s="78"/>
      <c r="R1" s="78">
        <f>N1</f>
        <v>110</v>
      </c>
      <c r="S1" s="78"/>
    </row>
    <row r="2" spans="2:19">
      <c r="B2" s="78"/>
      <c r="C2" s="81" t="s">
        <v>3</v>
      </c>
      <c r="D2" s="82"/>
      <c r="E2" s="83"/>
      <c r="F2" s="84"/>
      <c r="G2" s="85" t="s">
        <v>4</v>
      </c>
      <c r="H2" s="86"/>
      <c r="I2" s="86"/>
      <c r="J2" s="115"/>
      <c r="K2" s="116"/>
      <c r="L2" s="117" t="s">
        <v>5</v>
      </c>
      <c r="M2" s="118"/>
      <c r="N2" s="118"/>
      <c r="O2" s="118"/>
      <c r="P2" s="119"/>
      <c r="Q2" s="140"/>
      <c r="R2" s="141" t="s">
        <v>6</v>
      </c>
      <c r="S2" s="141"/>
    </row>
    <row r="3" ht="27" customHeight="1" spans="2:19">
      <c r="B3" s="78"/>
      <c r="C3" s="87" t="s">
        <v>7</v>
      </c>
      <c r="D3" s="88"/>
      <c r="E3" s="89" t="s">
        <v>8</v>
      </c>
      <c r="F3" s="90"/>
      <c r="G3" s="91" t="s">
        <v>9</v>
      </c>
      <c r="H3" s="92" t="s">
        <v>10</v>
      </c>
      <c r="I3" s="92" t="s">
        <v>11</v>
      </c>
      <c r="J3" s="120" t="s">
        <v>12</v>
      </c>
      <c r="K3" s="90"/>
      <c r="L3" s="121" t="s">
        <v>13</v>
      </c>
      <c r="M3" s="122"/>
      <c r="N3" s="122" t="s">
        <v>14</v>
      </c>
      <c r="O3" s="122" t="s">
        <v>15</v>
      </c>
      <c r="P3" s="123" t="s">
        <v>41</v>
      </c>
      <c r="Q3" s="90"/>
      <c r="R3" s="142" t="s">
        <v>7</v>
      </c>
      <c r="S3" s="143" t="s">
        <v>8</v>
      </c>
    </row>
    <row r="4" spans="2:19">
      <c r="B4" s="78" t="s">
        <v>16</v>
      </c>
      <c r="C4" s="93">
        <v>10258</v>
      </c>
      <c r="D4" s="94" t="s">
        <v>17</v>
      </c>
      <c r="E4" s="95">
        <f>100/C4</f>
        <v>0.00974848898420745</v>
      </c>
      <c r="F4" s="96"/>
      <c r="G4" s="97">
        <v>0.4</v>
      </c>
      <c r="H4" s="98">
        <v>50</v>
      </c>
      <c r="I4" s="104">
        <f>I1</f>
        <v>220</v>
      </c>
      <c r="J4" s="124">
        <f>(G4*H4)/(I4^2/100)</f>
        <v>0.0413223140495868</v>
      </c>
      <c r="K4" s="96"/>
      <c r="L4" s="125">
        <v>200</v>
      </c>
      <c r="M4" s="126" t="s">
        <v>18</v>
      </c>
      <c r="N4" s="127">
        <v>0.15</v>
      </c>
      <c r="O4" s="128">
        <f>100/L4*N4</f>
        <v>0.075</v>
      </c>
      <c r="P4" s="129">
        <f>0.5*(O4+O5-O6)</f>
        <v>0.0625</v>
      </c>
      <c r="Q4" s="138" t="s">
        <v>32</v>
      </c>
      <c r="R4" s="144">
        <v>5000</v>
      </c>
      <c r="S4" s="145">
        <f>100/R4</f>
        <v>0.02</v>
      </c>
    </row>
    <row r="5" ht="15.75" spans="2:19">
      <c r="B5" s="78" t="s">
        <v>19</v>
      </c>
      <c r="C5" s="99">
        <v>12025</v>
      </c>
      <c r="D5" s="100" t="s">
        <v>20</v>
      </c>
      <c r="E5" s="101">
        <f>300/C5-E4*2</f>
        <v>0.00545104697961005</v>
      </c>
      <c r="F5" s="96"/>
      <c r="G5" s="102">
        <v>1.264</v>
      </c>
      <c r="H5" s="103">
        <f>H4</f>
        <v>50</v>
      </c>
      <c r="I5" s="103">
        <f>I4</f>
        <v>220</v>
      </c>
      <c r="J5" s="130">
        <f>(G5*H5)/(I5^2/100)</f>
        <v>0.130578512396694</v>
      </c>
      <c r="K5" s="96"/>
      <c r="L5" s="131">
        <f>L4</f>
        <v>200</v>
      </c>
      <c r="M5" s="126" t="s">
        <v>42</v>
      </c>
      <c r="N5" s="127">
        <v>0.35</v>
      </c>
      <c r="O5" s="126">
        <f>100/L5*N5</f>
        <v>0.175</v>
      </c>
      <c r="P5" s="132">
        <f>0.5*(O4+O6-O5)</f>
        <v>0.0125</v>
      </c>
      <c r="Q5" s="138" t="s">
        <v>43</v>
      </c>
      <c r="R5" s="146">
        <v>5500</v>
      </c>
      <c r="S5" s="147">
        <f>300/R5-S4*2</f>
        <v>0.0145454545454545</v>
      </c>
    </row>
    <row r="6" spans="2:19">
      <c r="B6" s="78"/>
      <c r="C6" s="94"/>
      <c r="D6" s="94"/>
      <c r="E6" s="94"/>
      <c r="F6" s="96"/>
      <c r="G6" s="104"/>
      <c r="H6" s="104"/>
      <c r="I6" s="104"/>
      <c r="J6" s="133"/>
      <c r="K6" s="96"/>
      <c r="L6" s="134">
        <f>L5</f>
        <v>200</v>
      </c>
      <c r="M6" s="135" t="s">
        <v>44</v>
      </c>
      <c r="N6" s="136">
        <v>0.25</v>
      </c>
      <c r="O6" s="135">
        <f>100/L6*N6</f>
        <v>0.125</v>
      </c>
      <c r="P6" s="137">
        <f>0.5*(O6+O5-O4)</f>
        <v>0.1125</v>
      </c>
      <c r="Q6" s="138" t="s">
        <v>45</v>
      </c>
      <c r="R6" s="148"/>
      <c r="S6" s="148"/>
    </row>
    <row r="7" spans="2:23">
      <c r="B7" s="78"/>
      <c r="C7" s="78"/>
      <c r="D7" s="78"/>
      <c r="E7" s="96"/>
      <c r="F7" s="96"/>
      <c r="G7" s="96"/>
      <c r="H7" s="96" t="s">
        <v>21</v>
      </c>
      <c r="I7" s="112">
        <f>100/1.732/I4*1000</f>
        <v>262.439638883057</v>
      </c>
      <c r="J7" s="96"/>
      <c r="K7" s="96"/>
      <c r="L7" s="96"/>
      <c r="M7" s="96"/>
      <c r="N7" s="96" t="s">
        <v>23</v>
      </c>
      <c r="O7" s="112">
        <f>100/1.732/N1*1000</f>
        <v>524.879277766114</v>
      </c>
      <c r="P7" s="96"/>
      <c r="Q7" s="78"/>
      <c r="R7" s="78"/>
      <c r="S7" s="78"/>
      <c r="T7" s="78"/>
      <c r="U7" s="149"/>
      <c r="V7" s="149"/>
      <c r="W7" s="149"/>
    </row>
    <row r="8" spans="2:23">
      <c r="B8" s="78"/>
      <c r="C8" s="78"/>
      <c r="D8" s="105" t="s">
        <v>46</v>
      </c>
      <c r="E8" s="105"/>
      <c r="F8" s="105"/>
      <c r="G8" s="106" t="s">
        <v>4</v>
      </c>
      <c r="H8" s="105"/>
      <c r="I8" s="105"/>
      <c r="J8" s="105"/>
      <c r="K8" s="105"/>
      <c r="L8" s="105"/>
      <c r="M8" s="105"/>
      <c r="N8" s="106" t="s">
        <v>47</v>
      </c>
      <c r="O8" s="105"/>
      <c r="P8" s="105"/>
      <c r="Q8" s="105"/>
      <c r="R8" s="105"/>
      <c r="S8" s="105"/>
      <c r="T8" s="105" t="s">
        <v>6</v>
      </c>
      <c r="U8" s="149"/>
      <c r="V8" s="149"/>
      <c r="W8" s="149"/>
    </row>
    <row r="9" spans="2:23">
      <c r="B9" s="78"/>
      <c r="C9" s="78"/>
      <c r="D9" s="78"/>
      <c r="E9" s="78"/>
      <c r="F9" s="78"/>
      <c r="G9" s="78"/>
      <c r="H9" s="78"/>
      <c r="I9" s="78"/>
      <c r="J9" s="78" t="s">
        <v>48</v>
      </c>
      <c r="K9" s="78"/>
      <c r="L9" s="78"/>
      <c r="M9" s="78"/>
      <c r="N9" s="78"/>
      <c r="O9" s="78"/>
      <c r="P9" s="78"/>
      <c r="Q9" s="78"/>
      <c r="R9" s="78"/>
      <c r="S9" s="78"/>
      <c r="T9" s="78"/>
      <c r="U9" s="149"/>
      <c r="V9" s="149"/>
      <c r="W9" s="149"/>
    </row>
    <row r="10" spans="2:23">
      <c r="B10" s="78"/>
      <c r="C10" s="78"/>
      <c r="D10" s="78"/>
      <c r="E10" s="78"/>
      <c r="F10" s="78"/>
      <c r="G10" s="78"/>
      <c r="H10" s="78"/>
      <c r="I10" s="78"/>
      <c r="J10" s="78"/>
      <c r="K10" s="78"/>
      <c r="L10" s="78"/>
      <c r="M10" s="78"/>
      <c r="N10" s="78"/>
      <c r="O10" s="96" t="s">
        <v>49</v>
      </c>
      <c r="P10" s="78"/>
      <c r="Q10" s="78"/>
      <c r="R10" s="78"/>
      <c r="S10" s="78"/>
      <c r="T10" s="78"/>
      <c r="U10" s="149"/>
      <c r="V10" s="149"/>
      <c r="W10" s="149"/>
    </row>
    <row r="11" spans="2:23">
      <c r="B11" s="78"/>
      <c r="C11" s="78"/>
      <c r="D11" s="107">
        <f>E47</f>
        <v>3728.8147748453</v>
      </c>
      <c r="E11" s="78"/>
      <c r="F11" s="78"/>
      <c r="G11" s="108">
        <f>R11/L11</f>
        <v>1.81824176348471</v>
      </c>
      <c r="H11" s="78"/>
      <c r="I11" s="109">
        <f>G51</f>
        <v>6645.31416742864</v>
      </c>
      <c r="J11" s="78"/>
      <c r="K11" s="78"/>
      <c r="L11" s="109">
        <f>L47</f>
        <v>2916.49939258334</v>
      </c>
      <c r="M11" s="78"/>
      <c r="N11" s="78"/>
      <c r="O11" s="109">
        <f>R11*N1/M1</f>
        <v>2651.45049938641</v>
      </c>
      <c r="P11" s="78" t="s">
        <v>50</v>
      </c>
      <c r="Q11" s="78"/>
      <c r="R11" s="109">
        <f>O47</f>
        <v>5302.90099877281</v>
      </c>
      <c r="S11" s="78"/>
      <c r="T11" s="78"/>
      <c r="U11" s="149"/>
      <c r="V11" s="149"/>
      <c r="W11" s="149"/>
    </row>
    <row r="12" spans="2:23">
      <c r="B12" s="78"/>
      <c r="C12" s="78"/>
      <c r="D12" s="78"/>
      <c r="E12" s="78"/>
      <c r="F12" s="78"/>
      <c r="G12" s="78" t="s">
        <v>51</v>
      </c>
      <c r="H12" s="78"/>
      <c r="I12" s="78"/>
      <c r="J12" s="78"/>
      <c r="K12" s="78"/>
      <c r="L12" s="78"/>
      <c r="M12" s="109">
        <f>P47</f>
        <v>1020.20359198204</v>
      </c>
      <c r="N12" s="78"/>
      <c r="O12" s="109">
        <f>M12*(O1/(M1/1.732))</f>
        <v>265.048893196933</v>
      </c>
      <c r="P12" s="78" t="s">
        <v>52</v>
      </c>
      <c r="Q12" s="78"/>
      <c r="R12" s="78"/>
      <c r="S12" s="78"/>
      <c r="T12" s="78"/>
      <c r="U12" s="149"/>
      <c r="V12" s="149"/>
      <c r="W12" s="149"/>
    </row>
    <row r="13" spans="2:23">
      <c r="B13" s="78"/>
      <c r="C13" s="78"/>
      <c r="D13" s="78"/>
      <c r="E13" s="78"/>
      <c r="F13" s="78"/>
      <c r="G13" s="78"/>
      <c r="H13" s="78"/>
      <c r="I13" s="78"/>
      <c r="J13" s="78"/>
      <c r="K13" s="78"/>
      <c r="L13" s="78"/>
      <c r="M13" s="78"/>
      <c r="N13" s="78"/>
      <c r="O13" s="109">
        <f>O11+O12</f>
        <v>2916.49939258334</v>
      </c>
      <c r="P13" s="78" t="s">
        <v>53</v>
      </c>
      <c r="Q13" s="78"/>
      <c r="R13" s="78"/>
      <c r="S13" s="78"/>
      <c r="T13" s="78"/>
      <c r="U13" s="149"/>
      <c r="V13" s="149"/>
      <c r="W13" s="149"/>
    </row>
    <row r="14" spans="2:23">
      <c r="B14" s="78"/>
      <c r="C14" s="78"/>
      <c r="D14" s="78"/>
      <c r="E14" s="78"/>
      <c r="F14" s="78"/>
      <c r="G14" s="78"/>
      <c r="H14" s="78"/>
      <c r="I14" s="78"/>
      <c r="J14" s="78"/>
      <c r="K14" s="78"/>
      <c r="L14" s="78"/>
      <c r="M14" s="78"/>
      <c r="N14" s="78"/>
      <c r="O14" s="78"/>
      <c r="P14" s="78"/>
      <c r="Q14" s="78"/>
      <c r="R14" s="78"/>
      <c r="S14" s="78"/>
      <c r="T14" s="78"/>
      <c r="U14" s="149"/>
      <c r="V14" s="149"/>
      <c r="W14" s="149"/>
    </row>
    <row r="15" spans="2:23">
      <c r="B15" s="78"/>
      <c r="C15" s="78"/>
      <c r="D15" s="78"/>
      <c r="E15" s="78"/>
      <c r="F15" s="78"/>
      <c r="G15" s="78"/>
      <c r="H15" s="78"/>
      <c r="I15" s="78"/>
      <c r="J15" s="78"/>
      <c r="K15" s="78"/>
      <c r="L15" s="78"/>
      <c r="M15" s="78"/>
      <c r="N15" s="78"/>
      <c r="O15" s="78"/>
      <c r="P15" s="78"/>
      <c r="Q15" s="78"/>
      <c r="R15" s="78"/>
      <c r="S15" s="78"/>
      <c r="T15" s="78"/>
      <c r="U15" s="149"/>
      <c r="V15" s="149"/>
      <c r="W15" s="149"/>
    </row>
    <row r="16" spans="2:23">
      <c r="B16" s="78"/>
      <c r="C16" s="78"/>
      <c r="D16" s="78"/>
      <c r="E16" s="78"/>
      <c r="F16" s="78"/>
      <c r="G16" s="78"/>
      <c r="H16" s="78"/>
      <c r="I16" s="78"/>
      <c r="J16" s="78"/>
      <c r="K16" s="78"/>
      <c r="L16" s="78"/>
      <c r="M16" s="78"/>
      <c r="N16" s="78"/>
      <c r="O16" s="78"/>
      <c r="P16" s="78"/>
      <c r="Q16" s="78"/>
      <c r="R16" s="78"/>
      <c r="S16" s="78"/>
      <c r="T16" s="78"/>
      <c r="U16" s="149"/>
      <c r="V16" s="149"/>
      <c r="W16" s="149"/>
    </row>
    <row r="17" spans="2:23">
      <c r="B17" s="78"/>
      <c r="C17" s="78"/>
      <c r="D17" s="78"/>
      <c r="E17" s="107">
        <f>E48</f>
        <v>-593.095098955182</v>
      </c>
      <c r="F17" s="78"/>
      <c r="G17" s="78"/>
      <c r="H17" s="78"/>
      <c r="I17" s="78"/>
      <c r="J17" s="78"/>
      <c r="K17" s="109">
        <f>L48</f>
        <v>593.095098955182</v>
      </c>
      <c r="L17" s="78"/>
      <c r="M17" s="78"/>
      <c r="N17" s="107">
        <f>L49</f>
        <v>593.095098955182</v>
      </c>
      <c r="O17" s="78"/>
      <c r="P17" s="109">
        <f>O48</f>
        <v>656.092411516498</v>
      </c>
      <c r="Q17" s="78"/>
      <c r="R17" s="78"/>
      <c r="S17" s="109">
        <f>O49</f>
        <v>656.092411516498</v>
      </c>
      <c r="T17" s="78"/>
      <c r="U17" s="149"/>
      <c r="V17" s="149"/>
      <c r="W17" s="149"/>
    </row>
    <row r="18" spans="2:23">
      <c r="B18" s="78"/>
      <c r="C18" s="107">
        <f>E49</f>
        <v>-593.095098955182</v>
      </c>
      <c r="D18" s="107">
        <f>E40*I7*3</f>
        <v>2542.62457693494</v>
      </c>
      <c r="E18" s="78"/>
      <c r="F18" s="78"/>
      <c r="G18" s="78"/>
      <c r="H18" s="78"/>
      <c r="I18" s="78"/>
      <c r="J18" s="78"/>
      <c r="K18" s="78"/>
      <c r="L18" s="78"/>
      <c r="M18" s="107">
        <f>L40*I7*3</f>
        <v>4102.6895904937</v>
      </c>
      <c r="N18" s="78"/>
      <c r="O18" s="78"/>
      <c r="P18" s="78"/>
      <c r="Q18" s="78"/>
      <c r="R18" s="78"/>
      <c r="S18" s="78"/>
      <c r="T18" s="78"/>
      <c r="U18" s="149"/>
      <c r="V18" s="149"/>
      <c r="W18" s="149"/>
    </row>
    <row r="19" spans="2:23">
      <c r="B19" s="78"/>
      <c r="C19" s="78"/>
      <c r="D19" s="78"/>
      <c r="E19" s="78"/>
      <c r="F19" s="78"/>
      <c r="G19" s="78"/>
      <c r="H19" s="78"/>
      <c r="I19" s="78"/>
      <c r="J19" s="78"/>
      <c r="K19" s="78"/>
      <c r="L19" s="78"/>
      <c r="M19" s="78"/>
      <c r="N19" s="78"/>
      <c r="O19" s="78"/>
      <c r="P19" s="78"/>
      <c r="Q19" s="78"/>
      <c r="R19" s="78"/>
      <c r="S19" s="78"/>
      <c r="T19" s="78"/>
      <c r="U19" s="149"/>
      <c r="V19" s="149"/>
      <c r="W19" s="149"/>
    </row>
    <row r="20" spans="2:23">
      <c r="B20" s="78"/>
      <c r="C20" s="78"/>
      <c r="D20" s="78"/>
      <c r="E20" s="78"/>
      <c r="F20" s="78"/>
      <c r="G20" s="78"/>
      <c r="H20" s="78"/>
      <c r="I20" s="78"/>
      <c r="J20" s="78"/>
      <c r="K20" s="78"/>
      <c r="L20" s="78"/>
      <c r="M20" s="78"/>
      <c r="N20" s="78"/>
      <c r="O20" s="78"/>
      <c r="P20" s="78"/>
      <c r="Q20" s="78"/>
      <c r="R20" s="109">
        <f>O40*O7*3</f>
        <v>6615.08582180581</v>
      </c>
      <c r="S20" s="78"/>
      <c r="T20" s="78"/>
      <c r="U20" s="149"/>
      <c r="V20" s="149"/>
      <c r="W20" s="149"/>
    </row>
    <row r="21" spans="2:23">
      <c r="B21" s="78"/>
      <c r="C21" s="78"/>
      <c r="D21" s="78"/>
      <c r="E21" s="78"/>
      <c r="F21" s="78"/>
      <c r="G21" s="78"/>
      <c r="H21" s="78"/>
      <c r="I21" s="78"/>
      <c r="J21" s="78"/>
      <c r="K21" s="78"/>
      <c r="L21" s="78"/>
      <c r="M21" s="78"/>
      <c r="N21" s="78"/>
      <c r="O21" s="78"/>
      <c r="P21" s="78"/>
      <c r="Q21" s="78"/>
      <c r="R21" s="78"/>
      <c r="S21" s="78"/>
      <c r="T21" s="78"/>
      <c r="U21" s="149"/>
      <c r="V21" s="149"/>
      <c r="W21" s="149"/>
    </row>
    <row r="22" spans="2:23">
      <c r="B22" s="78"/>
      <c r="C22" s="78"/>
      <c r="D22" s="78"/>
      <c r="E22" s="78"/>
      <c r="F22" s="78"/>
      <c r="G22" s="78"/>
      <c r="H22" s="78"/>
      <c r="I22" s="78"/>
      <c r="J22" s="78"/>
      <c r="K22" s="78"/>
      <c r="L22" s="78"/>
      <c r="M22" s="78"/>
      <c r="N22" s="78"/>
      <c r="O22" s="78"/>
      <c r="P22" s="78"/>
      <c r="Q22" s="78"/>
      <c r="R22" s="78"/>
      <c r="S22" s="78"/>
      <c r="T22" s="78"/>
      <c r="U22" s="149"/>
      <c r="V22" s="149"/>
      <c r="W22" s="149"/>
    </row>
    <row r="23" spans="2:23">
      <c r="B23" s="78"/>
      <c r="C23" s="78"/>
      <c r="D23" s="78"/>
      <c r="E23" s="78"/>
      <c r="F23" s="78"/>
      <c r="G23" s="78"/>
      <c r="H23" s="78"/>
      <c r="I23" s="78"/>
      <c r="J23" s="78"/>
      <c r="K23" s="78"/>
      <c r="L23" s="78"/>
      <c r="M23" s="78"/>
      <c r="N23" s="78"/>
      <c r="O23" s="78"/>
      <c r="P23" s="78"/>
      <c r="Q23" s="78"/>
      <c r="R23" s="78"/>
      <c r="S23" s="78"/>
      <c r="T23" s="78"/>
      <c r="U23" s="149"/>
      <c r="V23" s="149"/>
      <c r="W23" s="149"/>
    </row>
    <row r="24" spans="2:23">
      <c r="B24" s="78"/>
      <c r="C24" s="78"/>
      <c r="D24" s="78"/>
      <c r="E24" s="78"/>
      <c r="F24" s="78"/>
      <c r="G24" s="78"/>
      <c r="H24" s="78"/>
      <c r="I24" s="78"/>
      <c r="J24" s="78"/>
      <c r="K24" s="78"/>
      <c r="L24" s="78"/>
      <c r="M24" s="78"/>
      <c r="N24" s="78"/>
      <c r="O24" s="78"/>
      <c r="P24" s="78"/>
      <c r="Q24" s="78"/>
      <c r="R24" s="78"/>
      <c r="S24" s="78"/>
      <c r="T24" s="78"/>
      <c r="U24" s="149"/>
      <c r="V24" s="149"/>
      <c r="W24" s="149"/>
    </row>
    <row r="25" spans="2:23">
      <c r="B25" s="78"/>
      <c r="C25" s="78"/>
      <c r="D25" s="78"/>
      <c r="E25" s="78"/>
      <c r="F25" s="78"/>
      <c r="G25" s="78"/>
      <c r="H25" s="109">
        <f>D18</f>
        <v>2542.62457693494</v>
      </c>
      <c r="I25" s="109"/>
      <c r="J25" s="109">
        <f>M18</f>
        <v>4102.6895904937</v>
      </c>
      <c r="K25" s="78"/>
      <c r="L25" s="78"/>
      <c r="M25" s="78"/>
      <c r="N25" s="78"/>
      <c r="O25" s="78"/>
      <c r="P25" s="78"/>
      <c r="Q25" s="78"/>
      <c r="R25" s="78"/>
      <c r="S25" s="78"/>
      <c r="T25" s="78"/>
      <c r="U25" s="149"/>
      <c r="V25" s="149"/>
      <c r="W25" s="149"/>
    </row>
    <row r="26" spans="2:23">
      <c r="B26" s="78"/>
      <c r="C26" s="78"/>
      <c r="D26" s="78"/>
      <c r="E26" s="78"/>
      <c r="F26" s="78"/>
      <c r="G26" s="78"/>
      <c r="H26" s="78"/>
      <c r="I26" s="78"/>
      <c r="J26" s="78"/>
      <c r="K26" s="78"/>
      <c r="L26" s="78"/>
      <c r="M26" s="78"/>
      <c r="N26" s="78"/>
      <c r="O26" s="78"/>
      <c r="P26" s="78"/>
      <c r="Q26" s="78"/>
      <c r="R26" s="78"/>
      <c r="S26" s="78"/>
      <c r="T26" s="78"/>
      <c r="U26" s="149"/>
      <c r="V26" s="149"/>
      <c r="W26" s="149"/>
    </row>
    <row r="27" spans="2:23">
      <c r="B27" s="78"/>
      <c r="C27" s="78" t="s">
        <v>24</v>
      </c>
      <c r="D27" s="78"/>
      <c r="E27" s="110">
        <f>E4+J4</f>
        <v>0.0510708030337942</v>
      </c>
      <c r="F27" s="96"/>
      <c r="G27" s="96"/>
      <c r="H27" s="96"/>
      <c r="I27" s="96"/>
      <c r="J27" s="96"/>
      <c r="K27" s="96"/>
      <c r="L27" s="96">
        <f>O4+S4</f>
        <v>0.095</v>
      </c>
      <c r="M27" s="96"/>
      <c r="N27" s="96"/>
      <c r="O27" s="96"/>
      <c r="P27" s="96"/>
      <c r="Q27" s="78"/>
      <c r="R27" s="78"/>
      <c r="S27" s="78"/>
      <c r="T27" s="78"/>
      <c r="U27" s="149"/>
      <c r="V27" s="149"/>
      <c r="W27" s="149"/>
    </row>
    <row r="28" spans="2:23">
      <c r="B28" s="78"/>
      <c r="C28" s="78" t="s">
        <v>25</v>
      </c>
      <c r="D28" s="78"/>
      <c r="E28" s="110">
        <f>L27/(E27+L27)</f>
        <v>0.650369533314753</v>
      </c>
      <c r="F28" s="96"/>
      <c r="G28" s="96"/>
      <c r="H28" s="96"/>
      <c r="I28" s="96"/>
      <c r="J28" s="96"/>
      <c r="K28" s="96"/>
      <c r="L28" s="110">
        <f>E27/(E27+L27)</f>
        <v>0.349630466685247</v>
      </c>
      <c r="M28" s="111"/>
      <c r="N28" s="96"/>
      <c r="O28" s="138" t="s">
        <v>54</v>
      </c>
      <c r="P28" s="96" t="s">
        <v>55</v>
      </c>
      <c r="Q28" s="78"/>
      <c r="R28" s="78"/>
      <c r="S28" s="78"/>
      <c r="T28" s="78"/>
      <c r="U28" s="149"/>
      <c r="V28" s="149"/>
      <c r="W28" s="149"/>
    </row>
    <row r="29" spans="2:23">
      <c r="B29" s="78"/>
      <c r="C29" s="78" t="s">
        <v>26</v>
      </c>
      <c r="D29" s="78"/>
      <c r="E29" s="110">
        <f>E5+J5</f>
        <v>0.136029559376304</v>
      </c>
      <c r="F29" s="96"/>
      <c r="G29" s="96"/>
      <c r="H29" s="96"/>
      <c r="I29" s="96"/>
      <c r="J29" s="96"/>
      <c r="K29" s="96"/>
      <c r="L29" s="139">
        <f>O29+P4</f>
        <v>0.0843037459283388</v>
      </c>
      <c r="M29" s="96"/>
      <c r="N29" s="96"/>
      <c r="O29" s="139">
        <f>P29*P6/(P29+P6)</f>
        <v>0.0218037459283388</v>
      </c>
      <c r="P29" s="96">
        <f>S5+P5</f>
        <v>0.0270454545454545</v>
      </c>
      <c r="Q29" s="78"/>
      <c r="R29" s="78"/>
      <c r="S29" s="78"/>
      <c r="T29" s="78"/>
      <c r="U29" s="149"/>
      <c r="V29" s="149"/>
      <c r="W29" s="149"/>
    </row>
    <row r="30" spans="2:23">
      <c r="B30" s="78"/>
      <c r="C30" s="78" t="s">
        <v>25</v>
      </c>
      <c r="D30" s="78"/>
      <c r="E30" s="111">
        <f>L29/(E29+L29)</f>
        <v>0.382619167863781</v>
      </c>
      <c r="F30" s="96"/>
      <c r="G30" s="96"/>
      <c r="H30" s="96"/>
      <c r="I30" s="96"/>
      <c r="J30" s="96"/>
      <c r="K30" s="96"/>
      <c r="L30" s="111">
        <f>E29/(E29+L29)</f>
        <v>0.617380832136219</v>
      </c>
      <c r="M30" s="111"/>
      <c r="N30" s="96"/>
      <c r="O30" s="78">
        <f>P29/(P6+P29)</f>
        <v>0.193811074918567</v>
      </c>
      <c r="P30" s="78"/>
      <c r="Q30" s="78"/>
      <c r="R30" s="96">
        <f>P6/(P6+P29)</f>
        <v>0.806188925081433</v>
      </c>
      <c r="S30" s="78"/>
      <c r="T30" s="78"/>
      <c r="U30" s="149"/>
      <c r="V30" s="149"/>
      <c r="W30" s="149"/>
    </row>
    <row r="31" spans="2:23">
      <c r="B31" s="78"/>
      <c r="C31" s="78" t="s">
        <v>24</v>
      </c>
      <c r="D31" s="78"/>
      <c r="E31" s="96"/>
      <c r="F31" s="96"/>
      <c r="G31" s="96"/>
      <c r="H31" s="96">
        <f>E27*L27/(E27+L27)</f>
        <v>0.0332148943350984</v>
      </c>
      <c r="I31" s="96"/>
      <c r="J31" s="96"/>
      <c r="K31" s="96"/>
      <c r="L31" s="96"/>
      <c r="M31" s="96"/>
      <c r="N31" s="96"/>
      <c r="O31" s="96" t="s">
        <v>56</v>
      </c>
      <c r="P31" s="78"/>
      <c r="Q31" s="78"/>
      <c r="R31" s="96" t="s">
        <v>57</v>
      </c>
      <c r="S31" s="78"/>
      <c r="T31" s="78"/>
      <c r="U31" s="149"/>
      <c r="V31" s="149"/>
      <c r="W31" s="149"/>
    </row>
    <row r="32" spans="2:23">
      <c r="B32" s="78"/>
      <c r="C32" s="78" t="s">
        <v>26</v>
      </c>
      <c r="D32" s="78"/>
      <c r="E32" s="96"/>
      <c r="F32" s="96"/>
      <c r="G32" s="96"/>
      <c r="H32" s="96">
        <f>E29*L29/(E29+L29)</f>
        <v>0.0520475168134382</v>
      </c>
      <c r="I32" s="96"/>
      <c r="J32" s="96"/>
      <c r="K32" s="96"/>
      <c r="L32" s="96"/>
      <c r="M32" s="96"/>
      <c r="N32" s="96"/>
      <c r="O32" s="96"/>
      <c r="P32" s="96"/>
      <c r="Q32" s="78"/>
      <c r="R32" s="78"/>
      <c r="S32" s="78"/>
      <c r="T32" s="78"/>
      <c r="U32" s="149"/>
      <c r="V32" s="149"/>
      <c r="W32" s="149"/>
    </row>
    <row r="33" spans="2:23">
      <c r="B33" s="78"/>
      <c r="C33" s="78" t="s">
        <v>27</v>
      </c>
      <c r="D33" s="78"/>
      <c r="E33" s="96"/>
      <c r="F33" s="96"/>
      <c r="G33" s="96"/>
      <c r="H33" s="96">
        <f>H31*2+H32</f>
        <v>0.118477305483635</v>
      </c>
      <c r="I33" s="96"/>
      <c r="J33" s="96"/>
      <c r="K33" s="96"/>
      <c r="L33" s="96"/>
      <c r="M33" s="96"/>
      <c r="N33" s="96"/>
      <c r="O33" s="96"/>
      <c r="P33" s="96"/>
      <c r="Q33" s="78"/>
      <c r="R33" s="78"/>
      <c r="S33" s="78"/>
      <c r="T33" s="78"/>
      <c r="U33" s="149"/>
      <c r="V33" s="149"/>
      <c r="W33" s="149"/>
    </row>
    <row r="34" spans="2:23">
      <c r="B34" s="78"/>
      <c r="C34" s="78"/>
      <c r="D34" s="78"/>
      <c r="E34" s="96"/>
      <c r="F34" s="96"/>
      <c r="G34" s="96"/>
      <c r="H34" s="96"/>
      <c r="I34" s="96"/>
      <c r="J34" s="96"/>
      <c r="K34" s="96"/>
      <c r="L34" s="96"/>
      <c r="M34" s="96"/>
      <c r="N34" s="96"/>
      <c r="O34" s="96"/>
      <c r="P34" s="96"/>
      <c r="Q34" s="78"/>
      <c r="R34" s="78"/>
      <c r="S34" s="78"/>
      <c r="T34" s="78"/>
      <c r="U34" s="149"/>
      <c r="V34" s="149"/>
      <c r="W34" s="149"/>
    </row>
    <row r="35" spans="2:23">
      <c r="B35" s="78"/>
      <c r="C35" s="78" t="s">
        <v>28</v>
      </c>
      <c r="D35" s="78"/>
      <c r="E35" s="96"/>
      <c r="F35" s="96"/>
      <c r="G35" s="96"/>
      <c r="H35" s="96">
        <f>1/H33</f>
        <v>8.44043503452336</v>
      </c>
      <c r="I35" s="96"/>
      <c r="J35" s="96" t="s">
        <v>29</v>
      </c>
      <c r="K35" s="96"/>
      <c r="L35" s="96" t="s">
        <v>1</v>
      </c>
      <c r="M35" s="96"/>
      <c r="N35" s="96"/>
      <c r="O35" s="96"/>
      <c r="P35" s="96"/>
      <c r="Q35" s="78"/>
      <c r="R35" s="78"/>
      <c r="S35" s="78"/>
      <c r="T35" s="78"/>
      <c r="U35" s="149"/>
      <c r="V35" s="149"/>
      <c r="W35" s="149"/>
    </row>
    <row r="36" spans="2:23">
      <c r="B36" s="78"/>
      <c r="C36" s="78" t="s">
        <v>30</v>
      </c>
      <c r="D36" s="78"/>
      <c r="E36" s="96"/>
      <c r="F36" s="96"/>
      <c r="G36" s="96"/>
      <c r="H36" s="96">
        <f>H35*3</f>
        <v>25.3213051035701</v>
      </c>
      <c r="I36" s="96"/>
      <c r="J36" s="112">
        <f>H36*I7</f>
        <v>6645.31416742864</v>
      </c>
      <c r="K36" s="96"/>
      <c r="L36" s="112">
        <f>1.32*I4*J36/1000</f>
        <v>1929.79923422128</v>
      </c>
      <c r="M36" s="112"/>
      <c r="N36" s="96"/>
      <c r="O36" s="96"/>
      <c r="P36" s="96"/>
      <c r="Q36" s="78"/>
      <c r="R36" s="78"/>
      <c r="S36" s="78"/>
      <c r="T36" s="78"/>
      <c r="U36" s="149"/>
      <c r="V36" s="149"/>
      <c r="W36" s="149"/>
    </row>
    <row r="37" spans="2:23">
      <c r="B37" s="78"/>
      <c r="C37" s="78"/>
      <c r="D37" s="78"/>
      <c r="E37" s="96" t="s">
        <v>31</v>
      </c>
      <c r="F37" s="96"/>
      <c r="G37" s="96"/>
      <c r="H37" s="96"/>
      <c r="I37" s="96"/>
      <c r="J37" s="96"/>
      <c r="K37" s="96"/>
      <c r="L37" s="96" t="s">
        <v>32</v>
      </c>
      <c r="M37" s="96"/>
      <c r="N37" s="96"/>
      <c r="O37" s="96" t="s">
        <v>58</v>
      </c>
      <c r="P37" s="96" t="s">
        <v>52</v>
      </c>
      <c r="Q37" s="78"/>
      <c r="R37" s="78" t="s">
        <v>6</v>
      </c>
      <c r="S37" s="78"/>
      <c r="T37" s="78"/>
      <c r="U37" s="149"/>
      <c r="V37" s="149"/>
      <c r="W37" s="149"/>
    </row>
    <row r="38" spans="2:23">
      <c r="B38" s="78"/>
      <c r="C38" s="78" t="s">
        <v>33</v>
      </c>
      <c r="D38" s="78" t="s">
        <v>34</v>
      </c>
      <c r="E38" s="110">
        <f>E28*H35</f>
        <v>5.48940179437645</v>
      </c>
      <c r="F38" s="96"/>
      <c r="G38" s="96"/>
      <c r="H38" s="96"/>
      <c r="I38" s="96"/>
      <c r="J38" s="96"/>
      <c r="K38" s="96"/>
      <c r="L38" s="110">
        <f>L28*H35</f>
        <v>2.95103324014691</v>
      </c>
      <c r="M38" s="110"/>
      <c r="N38" s="96"/>
      <c r="O38" s="110">
        <f>L38</f>
        <v>2.95103324014691</v>
      </c>
      <c r="P38" s="96">
        <v>0</v>
      </c>
      <c r="Q38" s="78"/>
      <c r="R38" s="108">
        <f>O38</f>
        <v>2.95103324014691</v>
      </c>
      <c r="S38" s="78"/>
      <c r="T38" s="78"/>
      <c r="U38" s="149"/>
      <c r="V38" s="149"/>
      <c r="W38" s="149"/>
    </row>
    <row r="39" spans="2:23">
      <c r="B39" s="78"/>
      <c r="C39" s="78"/>
      <c r="D39" s="78" t="s">
        <v>35</v>
      </c>
      <c r="E39" s="110">
        <f>E38</f>
        <v>5.48940179437645</v>
      </c>
      <c r="F39" s="96"/>
      <c r="G39" s="96"/>
      <c r="H39" s="96"/>
      <c r="I39" s="96"/>
      <c r="J39" s="96"/>
      <c r="K39" s="96"/>
      <c r="L39" s="110">
        <f>L38</f>
        <v>2.95103324014691</v>
      </c>
      <c r="M39" s="110"/>
      <c r="N39" s="96"/>
      <c r="O39" s="110">
        <f>O38</f>
        <v>2.95103324014691</v>
      </c>
      <c r="P39" s="112">
        <v>0</v>
      </c>
      <c r="Q39" s="110"/>
      <c r="R39" s="110">
        <f>R38</f>
        <v>2.95103324014691</v>
      </c>
      <c r="S39" s="78"/>
      <c r="T39" s="78"/>
      <c r="U39" s="149"/>
      <c r="V39" s="149"/>
      <c r="W39" s="149"/>
    </row>
    <row r="40" spans="2:23">
      <c r="B40" s="78"/>
      <c r="C40" s="78"/>
      <c r="D40" s="78" t="s">
        <v>36</v>
      </c>
      <c r="E40" s="110">
        <f>E30*H35</f>
        <v>3.22947222931763</v>
      </c>
      <c r="F40" s="110"/>
      <c r="G40" s="110"/>
      <c r="H40" s="110"/>
      <c r="I40" s="110"/>
      <c r="J40" s="110"/>
      <c r="K40" s="110"/>
      <c r="L40" s="110">
        <f>L30*H35</f>
        <v>5.21096280520573</v>
      </c>
      <c r="M40" s="110"/>
      <c r="N40" s="96"/>
      <c r="O40" s="110">
        <f>L40*R30</f>
        <v>4.20102050256814</v>
      </c>
      <c r="P40" s="110">
        <f>L40*O30</f>
        <v>1.00994230263759</v>
      </c>
      <c r="Q40" s="108"/>
      <c r="R40" s="108">
        <f>O40</f>
        <v>4.20102050256814</v>
      </c>
      <c r="S40" s="78"/>
      <c r="T40" s="78"/>
      <c r="U40" s="149"/>
      <c r="V40" s="149"/>
      <c r="W40" s="149"/>
    </row>
    <row r="41" spans="2:23">
      <c r="B41" s="78"/>
      <c r="C41" s="78"/>
      <c r="D41" s="78"/>
      <c r="E41" s="96"/>
      <c r="F41" s="96"/>
      <c r="G41" s="78"/>
      <c r="H41" s="96"/>
      <c r="I41" s="96"/>
      <c r="J41" s="96"/>
      <c r="K41" s="96"/>
      <c r="L41" s="96"/>
      <c r="M41" s="78"/>
      <c r="N41" s="78"/>
      <c r="O41" s="96"/>
      <c r="P41" s="96"/>
      <c r="Q41" s="78"/>
      <c r="R41" s="78"/>
      <c r="S41" s="78"/>
      <c r="T41" s="78"/>
      <c r="U41" s="149"/>
      <c r="V41" s="149"/>
      <c r="W41" s="149"/>
    </row>
    <row r="42" spans="2:23">
      <c r="B42" s="78"/>
      <c r="C42" s="78"/>
      <c r="D42" s="78" t="s">
        <v>37</v>
      </c>
      <c r="E42" s="110">
        <f>E38+E39+E40</f>
        <v>14.2082758180705</v>
      </c>
      <c r="F42" s="96"/>
      <c r="G42" s="78"/>
      <c r="H42" s="96"/>
      <c r="I42" s="96"/>
      <c r="J42" s="96"/>
      <c r="K42" s="96"/>
      <c r="L42" s="110">
        <f>L38+L39+L40</f>
        <v>11.1130292854996</v>
      </c>
      <c r="M42" s="78"/>
      <c r="N42" s="78"/>
      <c r="O42" s="110">
        <f>O38+O39+O40</f>
        <v>10.103086982862</v>
      </c>
      <c r="P42" s="110">
        <f>P38+P39+P40</f>
        <v>1.00994230263759</v>
      </c>
      <c r="Q42" s="78"/>
      <c r="R42" s="110">
        <f>R38+R39+R40</f>
        <v>10.103086982862</v>
      </c>
      <c r="S42" s="78"/>
      <c r="T42" s="78"/>
      <c r="U42" s="149"/>
      <c r="V42" s="149"/>
      <c r="W42" s="149"/>
    </row>
    <row r="43" spans="2:23">
      <c r="B43" s="78"/>
      <c r="C43" s="78"/>
      <c r="D43" s="78" t="s">
        <v>38</v>
      </c>
      <c r="E43" s="110">
        <f>E40-E38</f>
        <v>-2.25992956505882</v>
      </c>
      <c r="F43" s="110"/>
      <c r="G43" s="78"/>
      <c r="H43" s="110"/>
      <c r="I43" s="110"/>
      <c r="J43" s="110"/>
      <c r="K43" s="110"/>
      <c r="L43" s="110">
        <f>L40-L38</f>
        <v>2.25992956505882</v>
      </c>
      <c r="M43" s="78"/>
      <c r="N43" s="78"/>
      <c r="O43" s="110">
        <f>O40-O38</f>
        <v>1.24998726242123</v>
      </c>
      <c r="P43" s="110">
        <f>P40-P38</f>
        <v>1.00994230263759</v>
      </c>
      <c r="Q43" s="78"/>
      <c r="R43" s="110">
        <f>R40-R38</f>
        <v>1.24998726242123</v>
      </c>
      <c r="S43" s="78"/>
      <c r="T43" s="78"/>
      <c r="U43" s="149"/>
      <c r="V43" s="149"/>
      <c r="W43" s="149"/>
    </row>
    <row r="44" spans="2:23">
      <c r="B44" s="78"/>
      <c r="C44" s="78"/>
      <c r="D44" s="78" t="s">
        <v>39</v>
      </c>
      <c r="E44" s="110">
        <f>E43</f>
        <v>-2.25992956505882</v>
      </c>
      <c r="F44" s="110"/>
      <c r="G44" s="78"/>
      <c r="H44" s="110"/>
      <c r="I44" s="110"/>
      <c r="J44" s="110"/>
      <c r="K44" s="110"/>
      <c r="L44" s="110">
        <f>L43</f>
        <v>2.25992956505882</v>
      </c>
      <c r="M44" s="78"/>
      <c r="N44" s="78"/>
      <c r="O44" s="110">
        <f>O43</f>
        <v>1.24998726242123</v>
      </c>
      <c r="P44" s="110">
        <f>P43</f>
        <v>1.00994230263759</v>
      </c>
      <c r="Q44" s="78"/>
      <c r="R44" s="110">
        <f>R43</f>
        <v>1.24998726242123</v>
      </c>
      <c r="S44" s="78"/>
      <c r="T44" s="78"/>
      <c r="U44" s="149"/>
      <c r="V44" s="149"/>
      <c r="W44" s="149"/>
    </row>
    <row r="45" spans="2:23">
      <c r="B45" s="78"/>
      <c r="C45" s="78"/>
      <c r="D45" s="78"/>
      <c r="E45" s="78"/>
      <c r="F45" s="78"/>
      <c r="G45" s="78"/>
      <c r="H45" s="78"/>
      <c r="I45" s="78"/>
      <c r="J45" s="78"/>
      <c r="K45" s="78"/>
      <c r="L45" s="78"/>
      <c r="M45" s="78"/>
      <c r="N45" s="78"/>
      <c r="O45" s="78"/>
      <c r="P45" s="78"/>
      <c r="Q45" s="78"/>
      <c r="R45" s="78"/>
      <c r="S45" s="78"/>
      <c r="T45" s="78"/>
      <c r="U45" s="149"/>
      <c r="V45" s="149"/>
      <c r="W45" s="149"/>
    </row>
    <row r="46" spans="2:23">
      <c r="B46" s="78"/>
      <c r="C46" s="78"/>
      <c r="D46" s="78"/>
      <c r="E46" s="96" t="s">
        <v>29</v>
      </c>
      <c r="F46" s="78"/>
      <c r="G46" s="78"/>
      <c r="H46" s="78"/>
      <c r="I46" s="78"/>
      <c r="J46" s="78"/>
      <c r="K46" s="78"/>
      <c r="L46" s="96" t="s">
        <v>29</v>
      </c>
      <c r="M46" s="78"/>
      <c r="N46" s="78" t="s">
        <v>59</v>
      </c>
      <c r="O46" s="78"/>
      <c r="P46" s="78"/>
      <c r="Q46" s="78"/>
      <c r="R46" s="78"/>
      <c r="S46" s="78"/>
      <c r="T46" s="78"/>
      <c r="U46" s="149"/>
      <c r="V46" s="149"/>
      <c r="W46" s="149"/>
    </row>
    <row r="47" spans="2:23">
      <c r="B47" s="78"/>
      <c r="C47" s="78"/>
      <c r="D47" s="78" t="s">
        <v>37</v>
      </c>
      <c r="E47" s="112">
        <f>E42*$I$7</f>
        <v>3728.8147748453</v>
      </c>
      <c r="F47" s="78"/>
      <c r="G47" s="78"/>
      <c r="H47" s="78"/>
      <c r="I47" s="78"/>
      <c r="J47" s="78"/>
      <c r="K47" s="78"/>
      <c r="L47" s="112">
        <f>L42*$I$7</f>
        <v>2916.49939258334</v>
      </c>
      <c r="M47" s="78"/>
      <c r="N47" s="108">
        <f>O47/L47</f>
        <v>1.81824176348471</v>
      </c>
      <c r="O47" s="109">
        <f>O42*$O$7</f>
        <v>5302.90099877281</v>
      </c>
      <c r="P47" s="109">
        <f>P42*I7*(M1/1.732/O1)</f>
        <v>1020.20359198204</v>
      </c>
      <c r="Q47" s="78"/>
      <c r="R47" s="109">
        <f>O47</f>
        <v>5302.90099877281</v>
      </c>
      <c r="S47" s="78"/>
      <c r="T47" s="78"/>
      <c r="U47" s="149"/>
      <c r="V47" s="149"/>
      <c r="W47" s="149"/>
    </row>
    <row r="48" spans="2:23">
      <c r="B48" s="78"/>
      <c r="C48" s="78"/>
      <c r="D48" s="78" t="s">
        <v>38</v>
      </c>
      <c r="E48" s="112">
        <f>E43*$I$7</f>
        <v>-593.095098955182</v>
      </c>
      <c r="F48" s="78"/>
      <c r="G48" s="78"/>
      <c r="H48" s="78"/>
      <c r="I48" s="78"/>
      <c r="J48" s="78"/>
      <c r="K48" s="78"/>
      <c r="L48" s="112">
        <f>L43*$I$7</f>
        <v>593.095098955182</v>
      </c>
      <c r="M48" s="78"/>
      <c r="N48" s="108">
        <f>O48/L48</f>
        <v>1.10621789435167</v>
      </c>
      <c r="O48" s="109">
        <f>O43*$O$7</f>
        <v>656.092411516498</v>
      </c>
      <c r="P48" s="109">
        <f>P47</f>
        <v>1020.20359198204</v>
      </c>
      <c r="Q48" s="78"/>
      <c r="R48" s="109">
        <f>O48</f>
        <v>656.092411516498</v>
      </c>
      <c r="S48" s="78"/>
      <c r="T48" s="78"/>
      <c r="U48" s="149"/>
      <c r="V48" s="149"/>
      <c r="W48" s="149"/>
    </row>
    <row r="49" spans="2:23">
      <c r="B49" s="78"/>
      <c r="C49" s="78"/>
      <c r="D49" s="78" t="s">
        <v>39</v>
      </c>
      <c r="E49" s="112">
        <f>E44*$I$7</f>
        <v>-593.095098955182</v>
      </c>
      <c r="F49" s="78"/>
      <c r="G49" s="78"/>
      <c r="H49" s="78"/>
      <c r="I49" s="78"/>
      <c r="J49" s="78"/>
      <c r="K49" s="78"/>
      <c r="L49" s="112">
        <f>L44*$I$7</f>
        <v>593.095098955182</v>
      </c>
      <c r="M49" s="78"/>
      <c r="N49" s="108">
        <f>O49/L49</f>
        <v>1.10621789435167</v>
      </c>
      <c r="O49" s="109">
        <f>O44*$O$7</f>
        <v>656.092411516498</v>
      </c>
      <c r="P49" s="109">
        <f>P48</f>
        <v>1020.20359198204</v>
      </c>
      <c r="Q49" s="78"/>
      <c r="R49" s="109">
        <f>O49</f>
        <v>656.092411516498</v>
      </c>
      <c r="S49" s="78"/>
      <c r="T49" s="78"/>
      <c r="U49" s="149"/>
      <c r="V49" s="149"/>
      <c r="W49" s="149"/>
    </row>
    <row r="50" spans="2:23">
      <c r="B50" s="78"/>
      <c r="C50" s="78"/>
      <c r="D50" s="78"/>
      <c r="E50" s="78"/>
      <c r="F50" s="78"/>
      <c r="G50" s="78"/>
      <c r="H50" s="78"/>
      <c r="I50" s="78"/>
      <c r="J50" s="78"/>
      <c r="K50" s="78"/>
      <c r="L50" s="78"/>
      <c r="M50" s="78"/>
      <c r="N50" s="78"/>
      <c r="O50" s="78"/>
      <c r="P50" s="78"/>
      <c r="Q50" s="78"/>
      <c r="R50" s="78"/>
      <c r="S50" s="78"/>
      <c r="T50" s="78"/>
      <c r="U50" s="149"/>
      <c r="V50" s="149"/>
      <c r="W50" s="149"/>
    </row>
    <row r="51" spans="2:23">
      <c r="B51" s="78"/>
      <c r="C51" s="78"/>
      <c r="D51" s="78" t="s">
        <v>40</v>
      </c>
      <c r="E51" s="78"/>
      <c r="F51" s="78"/>
      <c r="G51" s="109">
        <f>H36*I7</f>
        <v>6645.31416742864</v>
      </c>
      <c r="H51" s="78" t="s">
        <v>29</v>
      </c>
      <c r="I51" s="78"/>
      <c r="J51" s="78"/>
      <c r="K51" s="78"/>
      <c r="L51" s="78"/>
      <c r="M51" s="78"/>
      <c r="N51" s="78"/>
      <c r="O51" s="78"/>
      <c r="P51" s="78"/>
      <c r="Q51" s="78"/>
      <c r="R51" s="78"/>
      <c r="S51" s="78"/>
      <c r="T51" s="78"/>
      <c r="U51" s="149"/>
      <c r="V51" s="149"/>
      <c r="W51" s="149"/>
    </row>
    <row r="52" spans="2:23">
      <c r="B52" s="78"/>
      <c r="C52" s="78"/>
      <c r="D52" s="78"/>
      <c r="E52" s="78"/>
      <c r="F52" s="78"/>
      <c r="G52" s="78"/>
      <c r="H52" s="78"/>
      <c r="I52" s="78"/>
      <c r="J52" s="78"/>
      <c r="K52" s="78"/>
      <c r="L52" s="78"/>
      <c r="M52" s="78"/>
      <c r="N52" s="78"/>
      <c r="O52" s="78"/>
      <c r="P52" s="78"/>
      <c r="Q52" s="78" t="s">
        <v>2</v>
      </c>
      <c r="R52" s="78" t="s">
        <v>60</v>
      </c>
      <c r="S52" s="78"/>
      <c r="T52" s="78"/>
      <c r="U52" s="149"/>
      <c r="V52" s="149"/>
      <c r="W52" s="149"/>
    </row>
    <row r="53" spans="2:23">
      <c r="B53" s="78"/>
      <c r="C53" s="78"/>
      <c r="D53" s="78" t="s">
        <v>61</v>
      </c>
      <c r="E53" s="78" t="s">
        <v>62</v>
      </c>
      <c r="F53" s="78"/>
      <c r="G53" s="78" t="s">
        <v>63</v>
      </c>
      <c r="H53" s="78">
        <f>1-H35*H31</f>
        <v>0.719651842186044</v>
      </c>
      <c r="I53" s="78"/>
      <c r="J53" s="78"/>
      <c r="K53" s="78"/>
      <c r="L53" s="78"/>
      <c r="M53" s="78">
        <f>H53+H54+H55</f>
        <v>0</v>
      </c>
      <c r="N53" s="96" t="s">
        <v>64</v>
      </c>
      <c r="O53" s="78"/>
      <c r="P53" s="78"/>
      <c r="Q53" s="78">
        <f>F57</f>
        <v>0</v>
      </c>
      <c r="R53" s="78">
        <v>0</v>
      </c>
      <c r="S53" s="78"/>
      <c r="T53" s="78"/>
      <c r="U53" s="149"/>
      <c r="V53" s="149"/>
      <c r="W53" s="149"/>
    </row>
    <row r="54" spans="2:23">
      <c r="B54" s="78"/>
      <c r="C54" s="78"/>
      <c r="D54" s="78"/>
      <c r="E54" s="78"/>
      <c r="F54" s="78"/>
      <c r="G54" s="78" t="s">
        <v>65</v>
      </c>
      <c r="H54" s="78">
        <f>-H35*H31</f>
        <v>-0.280348157813956</v>
      </c>
      <c r="I54" s="78" t="s">
        <v>66</v>
      </c>
      <c r="J54" s="78"/>
      <c r="K54" s="78"/>
      <c r="L54" s="78"/>
      <c r="M54" s="78">
        <f>(-0.5*H53)+(-0.5*H54)+H55</f>
        <v>-0.658955526558131</v>
      </c>
      <c r="N54" s="78">
        <f>(-0.866*H53)+(0.866*H54)</f>
        <v>-0.866</v>
      </c>
      <c r="O54" s="78">
        <f>(SQRT(M54^2+N54^2))</f>
        <v>1.08819960760033</v>
      </c>
      <c r="P54" s="78">
        <f>ATAN(N54/M54)</f>
        <v>0.920343844269409</v>
      </c>
      <c r="Q54" s="78">
        <f>O54*M1/1.732</f>
        <v>138.223968632836</v>
      </c>
      <c r="R54" s="78">
        <f>DEGREES(P54)</f>
        <v>52.7318179774826</v>
      </c>
      <c r="S54" s="78"/>
      <c r="T54" s="78"/>
      <c r="U54" s="149"/>
      <c r="V54" s="149"/>
      <c r="W54" s="149"/>
    </row>
    <row r="55" spans="2:23">
      <c r="B55" s="78"/>
      <c r="C55" s="78"/>
      <c r="D55" s="78"/>
      <c r="E55" s="78"/>
      <c r="F55" s="78"/>
      <c r="G55" s="78" t="s">
        <v>67</v>
      </c>
      <c r="H55" s="78">
        <f>-H35*H32</f>
        <v>-0.439303684372087</v>
      </c>
      <c r="I55" s="78" t="s">
        <v>68</v>
      </c>
      <c r="J55" s="78"/>
      <c r="K55" s="78"/>
      <c r="L55" s="78"/>
      <c r="M55" s="78">
        <f>(-0.5*H53)+(-0.5*H54)+H55</f>
        <v>-0.658955526558131</v>
      </c>
      <c r="N55" s="78">
        <f>(0.866*H53)+(-0.866*H54)</f>
        <v>0.866</v>
      </c>
      <c r="O55" s="78">
        <f>(SQRT(M55^2+N55^2))</f>
        <v>1.08819960760033</v>
      </c>
      <c r="P55" s="78">
        <f>ATAN(N55/M55)</f>
        <v>-0.920343844269409</v>
      </c>
      <c r="Q55" s="78">
        <f>O55*M1/1.732</f>
        <v>138.223968632836</v>
      </c>
      <c r="R55" s="78">
        <f>DEGREES(P55)</f>
        <v>-52.7318179774826</v>
      </c>
      <c r="S55" s="78"/>
      <c r="T55" s="78"/>
      <c r="U55" s="149"/>
      <c r="V55" s="149"/>
      <c r="W55" s="149"/>
    </row>
    <row r="56" spans="2:23">
      <c r="B56" s="78"/>
      <c r="C56" s="78"/>
      <c r="D56" s="78"/>
      <c r="E56" s="78"/>
      <c r="F56" s="78"/>
      <c r="G56" s="78"/>
      <c r="H56" s="78"/>
      <c r="I56" s="78"/>
      <c r="J56" s="78"/>
      <c r="K56" s="78"/>
      <c r="L56" s="78"/>
      <c r="M56" s="78"/>
      <c r="N56" s="78"/>
      <c r="O56" s="78"/>
      <c r="P56" s="78"/>
      <c r="Q56" s="78"/>
      <c r="R56" s="78"/>
      <c r="S56" s="78"/>
      <c r="T56" s="78"/>
      <c r="U56" s="149"/>
      <c r="V56" s="149"/>
      <c r="W56" s="149"/>
    </row>
    <row r="57" spans="2:23">
      <c r="B57" s="78"/>
      <c r="C57" s="78" t="s">
        <v>69</v>
      </c>
      <c r="D57" s="78" t="s">
        <v>63</v>
      </c>
      <c r="E57" s="78">
        <f>1-E38*E4</f>
        <v>0.946486627077633</v>
      </c>
      <c r="F57" s="78"/>
      <c r="G57" s="78"/>
      <c r="H57" s="78"/>
      <c r="I57" s="78"/>
      <c r="J57" s="78"/>
      <c r="K57" s="78"/>
      <c r="L57" s="78" t="s">
        <v>70</v>
      </c>
      <c r="M57" s="78">
        <f>E57+E58+E59</f>
        <v>0.875369249313909</v>
      </c>
      <c r="N57" s="78"/>
      <c r="O57" s="78">
        <f>M57</f>
        <v>0.875369249313909</v>
      </c>
      <c r="P57" s="78"/>
      <c r="Q57" s="78">
        <f>O57*M1/1.732</f>
        <v>111.190089404769</v>
      </c>
      <c r="R57" s="78"/>
      <c r="S57" s="78"/>
      <c r="T57" s="78"/>
      <c r="U57" s="149"/>
      <c r="V57" s="149"/>
      <c r="W57" s="149"/>
    </row>
    <row r="58" spans="2:23">
      <c r="B58" s="78"/>
      <c r="C58" s="78"/>
      <c r="D58" s="78" t="s">
        <v>65</v>
      </c>
      <c r="E58" s="78">
        <f>-E39*E4</f>
        <v>-0.0535133729223675</v>
      </c>
      <c r="F58" s="78"/>
      <c r="G58" s="78"/>
      <c r="H58" s="78"/>
      <c r="I58" s="78"/>
      <c r="J58" s="78"/>
      <c r="K58" s="78"/>
      <c r="L58" s="78" t="s">
        <v>71</v>
      </c>
      <c r="M58" s="78">
        <f>(-0.5*E57)+(-0.5*E58)+E59</f>
        <v>-0.464090631918989</v>
      </c>
      <c r="N58" s="78">
        <f>(-0.866*E57)+(0.866*E58)</f>
        <v>-0.866</v>
      </c>
      <c r="O58" s="78">
        <f>(SQRT(M58^2+N58^2))</f>
        <v>0.982515198169965</v>
      </c>
      <c r="P58" s="78">
        <f>ATAN(N58/M58)</f>
        <v>1.07884175552172</v>
      </c>
      <c r="Q58" s="78">
        <f>O58*M1/1.732</f>
        <v>124.799851961543</v>
      </c>
      <c r="R58" s="78">
        <f>DEGREES(P58)</f>
        <v>61.8130793538793</v>
      </c>
      <c r="S58" s="78"/>
      <c r="T58" s="78"/>
      <c r="U58" s="149"/>
      <c r="V58" s="149"/>
      <c r="W58" s="149"/>
    </row>
    <row r="59" spans="2:23">
      <c r="B59" s="78"/>
      <c r="C59" s="78"/>
      <c r="D59" s="78" t="s">
        <v>67</v>
      </c>
      <c r="E59" s="78">
        <f>-E40*E5</f>
        <v>-0.0176040048413564</v>
      </c>
      <c r="F59" s="78"/>
      <c r="G59" s="78"/>
      <c r="H59" s="78"/>
      <c r="I59" s="78"/>
      <c r="J59" s="78"/>
      <c r="K59" s="78"/>
      <c r="L59" s="78" t="s">
        <v>72</v>
      </c>
      <c r="M59" s="78">
        <f>(-0.5*E57)+(-0.5*E58)+E59</f>
        <v>-0.464090631918989</v>
      </c>
      <c r="N59" s="78">
        <f>(0.866*E57)+(-0.866*E58)</f>
        <v>0.866</v>
      </c>
      <c r="O59" s="78">
        <f>(SQRT(M59^2+N59^2))</f>
        <v>0.982515198169965</v>
      </c>
      <c r="P59" s="78">
        <f>ATAN(N59/M59)</f>
        <v>-1.07884175552172</v>
      </c>
      <c r="Q59" s="78">
        <f>O59*M1/1.732</f>
        <v>124.799851961543</v>
      </c>
      <c r="R59" s="78">
        <f>DEGREES(P59)</f>
        <v>-61.8130793538793</v>
      </c>
      <c r="S59" s="78"/>
      <c r="T59" s="78"/>
      <c r="U59" s="149"/>
      <c r="V59" s="149"/>
      <c r="W59" s="149"/>
    </row>
    <row r="60" spans="2:23">
      <c r="B60" s="78"/>
      <c r="C60" s="78"/>
      <c r="D60" s="78"/>
      <c r="E60" s="78"/>
      <c r="F60" s="78"/>
      <c r="G60" s="78"/>
      <c r="H60" s="78"/>
      <c r="I60" s="78"/>
      <c r="J60" s="78"/>
      <c r="K60" s="78"/>
      <c r="L60" s="78"/>
      <c r="M60" s="78"/>
      <c r="N60" s="78"/>
      <c r="O60" s="78"/>
      <c r="P60" s="78"/>
      <c r="Q60" s="78"/>
      <c r="R60" s="78"/>
      <c r="S60" s="78"/>
      <c r="T60" s="78"/>
      <c r="U60" s="149"/>
      <c r="V60" s="149"/>
      <c r="W60" s="149"/>
    </row>
    <row r="61" spans="2:23">
      <c r="B61" s="78"/>
      <c r="C61" s="78"/>
      <c r="D61" s="78"/>
      <c r="E61" s="78"/>
      <c r="F61" s="78"/>
      <c r="G61" s="78"/>
      <c r="H61" s="78"/>
      <c r="I61" s="78"/>
      <c r="J61" s="78"/>
      <c r="K61" s="78"/>
      <c r="L61" s="78"/>
      <c r="M61" s="78"/>
      <c r="N61" s="78"/>
      <c r="O61" s="78"/>
      <c r="P61" s="78"/>
      <c r="Q61" s="78"/>
      <c r="R61" s="78"/>
      <c r="S61" s="78"/>
      <c r="T61" s="78"/>
      <c r="U61" s="149"/>
      <c r="V61" s="149"/>
      <c r="W61" s="149"/>
    </row>
    <row r="62" spans="2:23">
      <c r="B62" s="78"/>
      <c r="C62" s="78" t="s">
        <v>73</v>
      </c>
      <c r="D62" s="78" t="s">
        <v>74</v>
      </c>
      <c r="E62" s="78">
        <f>(G5-G4)/3/G4</f>
        <v>0.72</v>
      </c>
      <c r="F62" s="78"/>
      <c r="G62" s="78"/>
      <c r="H62" s="78"/>
      <c r="I62" s="78"/>
      <c r="J62" s="78"/>
      <c r="K62" s="78"/>
      <c r="L62" s="78"/>
      <c r="M62" s="78"/>
      <c r="N62" s="78"/>
      <c r="O62" s="78"/>
      <c r="P62" s="78"/>
      <c r="Q62" s="78"/>
      <c r="R62" s="78"/>
      <c r="S62" s="78"/>
      <c r="T62" s="78"/>
      <c r="U62" s="149"/>
      <c r="V62" s="149"/>
      <c r="W62" s="149"/>
    </row>
    <row r="63" spans="2:23">
      <c r="B63" s="78"/>
      <c r="C63" s="78"/>
      <c r="D63" s="78"/>
      <c r="E63" s="78"/>
      <c r="F63" s="78"/>
      <c r="G63" s="78"/>
      <c r="H63" s="78"/>
      <c r="I63" s="78"/>
      <c r="J63" s="78"/>
      <c r="K63" s="78"/>
      <c r="L63" s="78"/>
      <c r="M63" s="78"/>
      <c r="N63" s="78"/>
      <c r="O63" s="78"/>
      <c r="P63" s="78"/>
      <c r="Q63" s="78"/>
      <c r="R63" s="78"/>
      <c r="S63" s="78"/>
      <c r="T63" s="78"/>
      <c r="U63" s="149"/>
      <c r="V63" s="149"/>
      <c r="W63" s="149"/>
    </row>
    <row r="64" spans="2:23">
      <c r="B64" s="78"/>
      <c r="C64" s="78"/>
      <c r="D64" s="78" t="s">
        <v>75</v>
      </c>
      <c r="E64" s="78" t="s">
        <v>76</v>
      </c>
      <c r="F64" s="78"/>
      <c r="G64" s="113">
        <f>Q57/(E47+E62*H25)*1000</f>
        <v>20</v>
      </c>
      <c r="H64" s="78" t="s">
        <v>77</v>
      </c>
      <c r="I64" s="78" t="s">
        <v>78</v>
      </c>
      <c r="J64" s="78"/>
      <c r="K64" s="78"/>
      <c r="L64" s="78"/>
      <c r="M64" s="78"/>
      <c r="N64" s="78"/>
      <c r="O64" s="78"/>
      <c r="P64" s="78"/>
      <c r="Q64" s="78"/>
      <c r="R64" s="78"/>
      <c r="S64" s="78"/>
      <c r="T64" s="78"/>
      <c r="U64" s="149"/>
      <c r="V64" s="149"/>
      <c r="W64" s="149"/>
    </row>
    <row r="65" spans="2:23">
      <c r="B65" s="149"/>
      <c r="C65" s="149"/>
      <c r="D65" s="149"/>
      <c r="E65" s="149"/>
      <c r="F65" s="149"/>
      <c r="G65" s="149"/>
      <c r="H65" s="149"/>
      <c r="I65" s="149"/>
      <c r="J65" s="149"/>
      <c r="K65" s="149"/>
      <c r="L65" s="149"/>
      <c r="M65" s="149"/>
      <c r="N65" s="149"/>
      <c r="O65" s="149"/>
      <c r="P65" s="149"/>
      <c r="Q65" s="149"/>
      <c r="R65" s="149"/>
      <c r="S65" s="149"/>
      <c r="T65" s="149"/>
      <c r="U65" s="149"/>
      <c r="V65" s="149"/>
      <c r="W65" s="149"/>
    </row>
    <row r="66" spans="2:21">
      <c r="B66" s="78"/>
      <c r="C66" s="78"/>
      <c r="D66" s="78"/>
      <c r="E66" s="78"/>
      <c r="F66" s="78"/>
      <c r="G66" s="78"/>
      <c r="H66" s="78"/>
      <c r="I66" s="78"/>
      <c r="J66" s="78"/>
      <c r="K66" s="78"/>
      <c r="L66" s="78"/>
      <c r="M66" s="78"/>
      <c r="N66" s="78"/>
      <c r="O66" s="78"/>
      <c r="P66" s="78"/>
      <c r="Q66" s="78"/>
      <c r="R66" s="78"/>
      <c r="S66" s="78"/>
      <c r="T66" s="78"/>
      <c r="U66" s="78"/>
    </row>
  </sheetData>
  <mergeCells count="4">
    <mergeCell ref="C2:E2"/>
    <mergeCell ref="G2:J2"/>
    <mergeCell ref="L2:O2"/>
    <mergeCell ref="R2:S2"/>
  </mergeCell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S57"/>
  <sheetViews>
    <sheetView topLeftCell="B1" workbookViewId="0">
      <selection activeCell="K7" sqref="K7"/>
    </sheetView>
  </sheetViews>
  <sheetFormatPr defaultColWidth="9" defaultRowHeight="15"/>
  <cols>
    <col min="1" max="1" width="1.73333333333333" customWidth="1"/>
    <col min="2" max="2" width="5.2" customWidth="1"/>
    <col min="3" max="3" width="11.9047619047619" customWidth="1"/>
    <col min="4" max="4" width="14"/>
    <col min="5" max="5" width="9.77142857142857" customWidth="1"/>
    <col min="6" max="6" width="3.29523809523809" customWidth="1"/>
    <col min="7" max="7" width="11.152380952381" customWidth="1"/>
    <col min="8" max="8" width="7.72380952380952" customWidth="1"/>
    <col min="9" max="9" width="9.54285714285714" customWidth="1"/>
    <col min="10" max="10" width="9.74285714285714" customWidth="1"/>
    <col min="11" max="11" width="4.54285714285714" customWidth="1"/>
    <col min="12" max="13" width="9.5047619047619" customWidth="1"/>
    <col min="14" max="14" width="12.8190476190476"/>
    <col min="15" max="15" width="9" customWidth="1"/>
    <col min="16" max="16" width="8.42857142857143" customWidth="1"/>
    <col min="17" max="17" width="3.32380952380952" customWidth="1"/>
    <col min="18" max="18" width="14"/>
    <col min="19" max="19" width="8.68571428571429" customWidth="1"/>
  </cols>
  <sheetData>
    <row r="1" spans="2:15">
      <c r="B1" t="s">
        <v>0</v>
      </c>
      <c r="C1">
        <v>100</v>
      </c>
      <c r="D1" t="s">
        <v>1</v>
      </c>
      <c r="E1">
        <v>220</v>
      </c>
      <c r="F1" t="s">
        <v>2</v>
      </c>
      <c r="L1">
        <v>22</v>
      </c>
      <c r="M1" t="s">
        <v>2</v>
      </c>
      <c r="N1">
        <v>3</v>
      </c>
      <c r="O1" t="s">
        <v>2</v>
      </c>
    </row>
    <row r="2" ht="15.75" spans="3:19">
      <c r="C2" s="13" t="s">
        <v>3</v>
      </c>
      <c r="D2" s="14"/>
      <c r="E2" s="15"/>
      <c r="F2" s="16"/>
      <c r="G2" s="17"/>
      <c r="H2" s="18"/>
      <c r="I2" s="18"/>
      <c r="J2" s="44"/>
      <c r="K2" s="45"/>
      <c r="L2" s="46" t="s">
        <v>79</v>
      </c>
      <c r="M2" s="47"/>
      <c r="N2" s="47"/>
      <c r="O2" s="47"/>
      <c r="P2" s="48"/>
      <c r="Q2" s="68"/>
      <c r="R2" s="69"/>
      <c r="S2" s="69"/>
    </row>
    <row r="3" ht="27" customHeight="1" spans="3:19">
      <c r="C3" s="19" t="s">
        <v>7</v>
      </c>
      <c r="D3" s="20"/>
      <c r="E3" s="21" t="s">
        <v>8</v>
      </c>
      <c r="F3" s="22"/>
      <c r="G3" s="23"/>
      <c r="H3" s="24"/>
      <c r="I3" s="24"/>
      <c r="J3" s="49"/>
      <c r="K3" s="22"/>
      <c r="L3" s="50" t="s">
        <v>13</v>
      </c>
      <c r="M3" s="51"/>
      <c r="N3" s="51" t="s">
        <v>14</v>
      </c>
      <c r="O3" s="51" t="s">
        <v>15</v>
      </c>
      <c r="P3" s="52" t="s">
        <v>41</v>
      </c>
      <c r="Q3" s="22"/>
      <c r="R3" s="70"/>
      <c r="S3" s="71"/>
    </row>
    <row r="4" spans="2:19">
      <c r="B4" t="s">
        <v>16</v>
      </c>
      <c r="C4" s="25">
        <f>1.732*220*25.9</f>
        <v>9868.936</v>
      </c>
      <c r="D4" s="26" t="s">
        <v>17</v>
      </c>
      <c r="E4" s="27">
        <f>100/C4</f>
        <v>0.0101328045900794</v>
      </c>
      <c r="F4" s="28"/>
      <c r="G4" s="29"/>
      <c r="H4" s="30"/>
      <c r="I4" s="30"/>
      <c r="J4" s="53"/>
      <c r="K4" s="28"/>
      <c r="L4" s="54">
        <v>50</v>
      </c>
      <c r="M4" s="55" t="s">
        <v>42</v>
      </c>
      <c r="N4" s="56">
        <v>0.15</v>
      </c>
      <c r="O4" s="57">
        <f t="shared" ref="O4:O6" si="0">100/L4*N4</f>
        <v>0.3</v>
      </c>
      <c r="P4" s="58">
        <f>0.5*(O4+O5-O6)</f>
        <v>0.2</v>
      </c>
      <c r="Q4" s="66" t="s">
        <v>80</v>
      </c>
      <c r="R4" s="72"/>
      <c r="S4" s="73"/>
    </row>
    <row r="5" ht="15.75" spans="2:19">
      <c r="B5" t="s">
        <v>19</v>
      </c>
      <c r="C5" s="25">
        <f>1.732*220*29</f>
        <v>11050.16</v>
      </c>
      <c r="D5" s="31" t="s">
        <v>20</v>
      </c>
      <c r="E5" s="32">
        <f>300/C5-E4*2</f>
        <v>0.0068833189801574</v>
      </c>
      <c r="F5" s="28"/>
      <c r="G5" s="33"/>
      <c r="H5" s="34"/>
      <c r="I5" s="34"/>
      <c r="J5" s="59"/>
      <c r="K5" s="28"/>
      <c r="L5" s="54">
        <f>L4</f>
        <v>50</v>
      </c>
      <c r="M5" s="55" t="s">
        <v>81</v>
      </c>
      <c r="N5" s="56">
        <v>0.3</v>
      </c>
      <c r="O5" s="57">
        <f t="shared" si="0"/>
        <v>0.6</v>
      </c>
      <c r="P5" s="60">
        <f>0.5*(O4+O6-O5)</f>
        <v>0.1</v>
      </c>
      <c r="Q5" s="66" t="s">
        <v>82</v>
      </c>
      <c r="R5" s="74"/>
      <c r="S5" s="75"/>
    </row>
    <row r="6" spans="3:19">
      <c r="C6" s="26"/>
      <c r="D6" s="28" t="s">
        <v>21</v>
      </c>
      <c r="E6" s="35">
        <f>100/1.732/E1*1000</f>
        <v>262.439638883057</v>
      </c>
      <c r="F6" s="28"/>
      <c r="G6" s="30"/>
      <c r="H6" s="30"/>
      <c r="I6" s="30"/>
      <c r="J6" s="61"/>
      <c r="K6" s="28"/>
      <c r="L6" s="62">
        <f>L5</f>
        <v>50</v>
      </c>
      <c r="M6" s="63" t="s">
        <v>83</v>
      </c>
      <c r="N6" s="64">
        <v>0.25</v>
      </c>
      <c r="O6" s="57">
        <f t="shared" si="0"/>
        <v>0.5</v>
      </c>
      <c r="P6" s="65">
        <f>0.5*(O6+O5-O4)</f>
        <v>0.4</v>
      </c>
      <c r="Q6" s="66" t="s">
        <v>45</v>
      </c>
      <c r="R6" s="76"/>
      <c r="S6" s="76"/>
    </row>
    <row r="7" spans="5:16">
      <c r="E7" s="28"/>
      <c r="F7" s="28"/>
      <c r="G7" s="28"/>
      <c r="J7" s="28"/>
      <c r="K7" s="28"/>
      <c r="L7" s="28"/>
      <c r="M7" s="28"/>
      <c r="N7" s="28" t="s">
        <v>84</v>
      </c>
      <c r="O7" s="35">
        <f>100/1.732/L1*1000</f>
        <v>2624.39638883057</v>
      </c>
      <c r="P7" s="28"/>
    </row>
    <row r="9" spans="8:8">
      <c r="H9" s="28" t="s">
        <v>49</v>
      </c>
    </row>
    <row r="10" spans="8:9">
      <c r="H10" s="36">
        <f>L12*L1/E1</f>
        <v>412.13495194544</v>
      </c>
      <c r="I10" t="s">
        <v>50</v>
      </c>
    </row>
    <row r="11" spans="4:18">
      <c r="D11" s="35">
        <f>H47</f>
        <v>365.303408956538</v>
      </c>
      <c r="H11" s="6">
        <f>G12*N1/E1*1.732</f>
        <v>0.212870649949554</v>
      </c>
      <c r="I11" t="s">
        <v>52</v>
      </c>
      <c r="L11" s="2"/>
      <c r="R11" s="2"/>
    </row>
    <row r="12" spans="7:18">
      <c r="G12" s="37">
        <f>I47</f>
        <v>9.01299903558544</v>
      </c>
      <c r="H12" s="6">
        <f>H10+H11</f>
        <v>412.347822595389</v>
      </c>
      <c r="I12" t="s">
        <v>53</v>
      </c>
      <c r="L12" s="2">
        <f>J47</f>
        <v>4121.3495194544</v>
      </c>
      <c r="M12" s="2"/>
      <c r="O12" s="2">
        <f>J36</f>
        <v>4121.3495194544</v>
      </c>
      <c r="R12" s="77">
        <f>L12/D11</f>
        <v>11.2819903083487</v>
      </c>
    </row>
    <row r="17" spans="4:19">
      <c r="D17" s="38">
        <f>H48</f>
        <v>-46.831542988902</v>
      </c>
      <c r="E17" s="39"/>
      <c r="K17" s="2"/>
      <c r="M17" s="66">
        <f>J49</f>
        <v>0</v>
      </c>
      <c r="N17" s="39"/>
      <c r="P17" s="2"/>
      <c r="S17" s="2"/>
    </row>
    <row r="18" spans="3:13">
      <c r="C18" s="39"/>
      <c r="D18" s="39"/>
      <c r="G18" s="2">
        <f>H49</f>
        <v>-46.831542988902</v>
      </c>
      <c r="I18">
        <f>J48</f>
        <v>0</v>
      </c>
      <c r="M18" s="39"/>
    </row>
    <row r="20" spans="12:18">
      <c r="L20" s="66">
        <v>1.7</v>
      </c>
      <c r="M20" t="s">
        <v>85</v>
      </c>
      <c r="R20" s="2"/>
    </row>
    <row r="21" spans="5:13">
      <c r="E21" s="2">
        <f>3*H40*E6</f>
        <v>271.640322978734</v>
      </c>
      <c r="L21" s="67" t="s">
        <v>86</v>
      </c>
      <c r="M21" s="67"/>
    </row>
    <row r="25" spans="8:10">
      <c r="H25" s="2"/>
      <c r="I25" s="2"/>
      <c r="J25" s="2"/>
    </row>
    <row r="27" spans="3:16">
      <c r="C27" t="s">
        <v>24</v>
      </c>
      <c r="E27" s="40">
        <f>E4+O4</f>
        <v>0.310132804590079</v>
      </c>
      <c r="F27" s="28"/>
      <c r="G27" s="28"/>
      <c r="H27" s="28" t="s">
        <v>32</v>
      </c>
      <c r="I27" s="28" t="s">
        <v>52</v>
      </c>
      <c r="J27" s="28" t="s">
        <v>43</v>
      </c>
      <c r="K27" s="28"/>
      <c r="P27" s="28"/>
    </row>
    <row r="28" spans="3:16">
      <c r="C28" t="s">
        <v>25</v>
      </c>
      <c r="E28" s="40">
        <v>1</v>
      </c>
      <c r="F28" s="28"/>
      <c r="G28" s="28"/>
      <c r="H28">
        <f>E28</f>
        <v>1</v>
      </c>
      <c r="I28">
        <v>0</v>
      </c>
      <c r="J28">
        <f>E28</f>
        <v>1</v>
      </c>
      <c r="L28" s="28" t="s">
        <v>87</v>
      </c>
      <c r="M28" s="28" t="s">
        <v>86</v>
      </c>
      <c r="N28" s="28" t="s">
        <v>88</v>
      </c>
      <c r="O28" s="28" t="s">
        <v>89</v>
      </c>
      <c r="P28" s="28"/>
    </row>
    <row r="29" spans="3:16">
      <c r="C29" t="s">
        <v>26</v>
      </c>
      <c r="E29" s="41">
        <f>N29+L29</f>
        <v>1.29007689618784</v>
      </c>
      <c r="F29" s="42"/>
      <c r="G29" s="42"/>
      <c r="H29" s="41"/>
      <c r="I29" s="41"/>
      <c r="J29" s="41"/>
      <c r="K29" s="41"/>
      <c r="L29" s="42">
        <f>P5+3*M29</f>
        <v>1.15371900826446</v>
      </c>
      <c r="M29" s="42">
        <f>L20/(L1^2/C1)</f>
        <v>0.351239669421488</v>
      </c>
      <c r="N29" s="42">
        <f>O29*P6/(O29+P6)</f>
        <v>0.136357887923376</v>
      </c>
      <c r="O29" s="42">
        <f>E5+P4</f>
        <v>0.206883318980157</v>
      </c>
      <c r="P29" s="42"/>
    </row>
    <row r="30" spans="3:18">
      <c r="C30" t="s">
        <v>25</v>
      </c>
      <c r="E30" s="43"/>
      <c r="F30" s="28"/>
      <c r="G30" s="28"/>
      <c r="H30" s="40">
        <f>P6/(E5+P4+P6)</f>
        <v>0.659105280191559</v>
      </c>
      <c r="I30" s="40">
        <f>O29/(E5+P4+P6)</f>
        <v>0.340894719808441</v>
      </c>
      <c r="J30" s="28">
        <v>1</v>
      </c>
      <c r="K30" s="28"/>
      <c r="L30" s="43"/>
      <c r="M30" s="43"/>
      <c r="N30" s="28"/>
      <c r="R30" s="28"/>
    </row>
    <row r="31" spans="3:18">
      <c r="C31" t="s">
        <v>24</v>
      </c>
      <c r="E31" s="28"/>
      <c r="F31" s="28"/>
      <c r="G31" s="28"/>
      <c r="H31" s="28">
        <f>E27</f>
        <v>0.310132804590079</v>
      </c>
      <c r="I31" s="28"/>
      <c r="J31" s="28"/>
      <c r="K31" s="28"/>
      <c r="L31" s="28"/>
      <c r="M31" s="28"/>
      <c r="N31" s="28"/>
      <c r="O31" s="28"/>
      <c r="R31" s="28"/>
    </row>
    <row r="32" spans="3:16">
      <c r="C32" t="s">
        <v>26</v>
      </c>
      <c r="E32" s="28"/>
      <c r="F32" s="28"/>
      <c r="G32" s="28"/>
      <c r="H32" s="28">
        <f>E29</f>
        <v>1.29007689618784</v>
      </c>
      <c r="I32" s="28"/>
      <c r="J32" s="28"/>
      <c r="K32" s="28"/>
      <c r="L32" s="28"/>
      <c r="M32" s="28"/>
      <c r="N32" s="28"/>
      <c r="O32" s="28"/>
      <c r="P32" s="28"/>
    </row>
    <row r="33" spans="3:16">
      <c r="C33" t="s">
        <v>27</v>
      </c>
      <c r="E33" s="28"/>
      <c r="F33" s="28"/>
      <c r="G33" s="28"/>
      <c r="H33" s="28">
        <f>H31*2+H32</f>
        <v>1.910342505368</v>
      </c>
      <c r="I33" s="28"/>
      <c r="J33" s="28"/>
      <c r="K33" s="28"/>
      <c r="L33" s="28"/>
      <c r="M33" s="28"/>
      <c r="N33" s="28"/>
      <c r="O33" s="28"/>
      <c r="P33" s="28"/>
    </row>
    <row r="34" spans="5:16">
      <c r="E34" s="28"/>
      <c r="F34" s="28"/>
      <c r="G34" s="28"/>
      <c r="H34" s="28"/>
      <c r="I34" s="28"/>
      <c r="J34" s="28" t="s">
        <v>43</v>
      </c>
      <c r="K34" s="28"/>
      <c r="L34" s="28"/>
      <c r="M34" s="28"/>
      <c r="N34" s="28"/>
      <c r="O34" s="28"/>
      <c r="P34" s="28"/>
    </row>
    <row r="35" spans="3:16">
      <c r="C35" t="s">
        <v>28</v>
      </c>
      <c r="E35" s="28"/>
      <c r="F35" s="28"/>
      <c r="G35" s="28"/>
      <c r="H35" s="28">
        <f>1/H33</f>
        <v>0.523466340297634</v>
      </c>
      <c r="I35" s="28"/>
      <c r="J35" s="28" t="s">
        <v>29</v>
      </c>
      <c r="K35" s="28"/>
      <c r="L35" s="28"/>
      <c r="M35" s="28"/>
      <c r="N35" s="28"/>
      <c r="O35" s="28"/>
      <c r="P35" s="28"/>
    </row>
    <row r="36" spans="3:16">
      <c r="C36" t="s">
        <v>30</v>
      </c>
      <c r="E36" s="28"/>
      <c r="F36" s="28"/>
      <c r="G36" s="28"/>
      <c r="H36" s="28">
        <f>H35*3</f>
        <v>1.5703990208929</v>
      </c>
      <c r="I36" s="28"/>
      <c r="J36" s="35">
        <f>H36*O7</f>
        <v>4121.3495194544</v>
      </c>
      <c r="K36" s="28"/>
      <c r="L36" s="35"/>
      <c r="M36" s="35"/>
      <c r="N36" s="28"/>
      <c r="O36" s="28"/>
      <c r="P36" s="28"/>
    </row>
    <row r="37" spans="6:16">
      <c r="F37" s="28"/>
      <c r="G37" s="28"/>
      <c r="H37" t="s">
        <v>32</v>
      </c>
      <c r="I37" s="28" t="s">
        <v>90</v>
      </c>
      <c r="J37" s="28" t="s">
        <v>31</v>
      </c>
      <c r="K37" s="28"/>
      <c r="L37" s="28"/>
      <c r="M37" s="28"/>
      <c r="N37" s="28"/>
      <c r="O37" s="28"/>
      <c r="P37" s="28"/>
    </row>
    <row r="38" spans="3:18">
      <c r="C38" t="s">
        <v>91</v>
      </c>
      <c r="D38" t="s">
        <v>34</v>
      </c>
      <c r="F38" s="28"/>
      <c r="G38" s="28"/>
      <c r="H38" s="40">
        <f>H35*H28</f>
        <v>0.523466340297634</v>
      </c>
      <c r="I38" s="28">
        <v>0</v>
      </c>
      <c r="J38" s="40">
        <f>J28*H35</f>
        <v>0.523466340297634</v>
      </c>
      <c r="K38" s="28"/>
      <c r="L38" s="40"/>
      <c r="M38" s="40"/>
      <c r="N38" s="28"/>
      <c r="O38" s="40"/>
      <c r="P38" s="28"/>
      <c r="R38" s="77"/>
    </row>
    <row r="39" spans="4:18">
      <c r="D39" t="s">
        <v>35</v>
      </c>
      <c r="F39" s="28"/>
      <c r="G39" s="28"/>
      <c r="H39" s="40">
        <f>H38</f>
        <v>0.523466340297634</v>
      </c>
      <c r="I39" s="28">
        <v>0</v>
      </c>
      <c r="J39" s="40">
        <f>J38</f>
        <v>0.523466340297634</v>
      </c>
      <c r="K39" s="28"/>
      <c r="L39" s="40"/>
      <c r="M39" s="40"/>
      <c r="N39" s="28"/>
      <c r="O39" s="40"/>
      <c r="P39" s="35"/>
      <c r="Q39" s="40"/>
      <c r="R39" s="40"/>
    </row>
    <row r="40" spans="4:18">
      <c r="D40" t="s">
        <v>36</v>
      </c>
      <c r="F40" s="40"/>
      <c r="G40" s="40"/>
      <c r="H40" s="40">
        <f>H35*H30</f>
        <v>0.345019428892722</v>
      </c>
      <c r="I40" s="40">
        <f>H35*I30</f>
        <v>0.178446911404912</v>
      </c>
      <c r="J40" s="40">
        <f>J30*H35</f>
        <v>0.523466340297634</v>
      </c>
      <c r="K40" s="40"/>
      <c r="L40" s="40"/>
      <c r="M40" s="40"/>
      <c r="N40" s="28"/>
      <c r="O40" s="40"/>
      <c r="P40" s="40"/>
      <c r="Q40" s="77"/>
      <c r="R40" s="77"/>
    </row>
    <row r="41" spans="5:16">
      <c r="E41" s="28"/>
      <c r="F41" s="28"/>
      <c r="K41" s="28"/>
      <c r="L41" s="28"/>
      <c r="O41" s="28"/>
      <c r="P41" s="28"/>
    </row>
    <row r="42" spans="4:18">
      <c r="D42" t="s">
        <v>37</v>
      </c>
      <c r="E42" s="40"/>
      <c r="F42" s="28"/>
      <c r="H42" s="40">
        <f>H38+H39+H40</f>
        <v>1.39195210948799</v>
      </c>
      <c r="I42" s="40">
        <f>I38+I39+I40</f>
        <v>0.178446911404912</v>
      </c>
      <c r="J42" s="40">
        <f>J38+J39+J40</f>
        <v>1.5703990208929</v>
      </c>
      <c r="K42" s="28"/>
      <c r="L42" s="40"/>
      <c r="O42" s="40"/>
      <c r="P42" s="40"/>
      <c r="R42" s="40"/>
    </row>
    <row r="43" spans="4:18">
      <c r="D43" t="s">
        <v>38</v>
      </c>
      <c r="E43" s="40"/>
      <c r="F43" s="40"/>
      <c r="H43" s="40">
        <f>H40-H38</f>
        <v>-0.178446911404912</v>
      </c>
      <c r="I43" s="40">
        <f>I40-I38</f>
        <v>0.178446911404912</v>
      </c>
      <c r="J43" s="40">
        <f>J40-J38</f>
        <v>0</v>
      </c>
      <c r="K43" s="40"/>
      <c r="L43" s="40"/>
      <c r="O43" s="40"/>
      <c r="P43" s="40"/>
      <c r="R43" s="40"/>
    </row>
    <row r="44" spans="4:18">
      <c r="D44" t="s">
        <v>39</v>
      </c>
      <c r="E44" s="40"/>
      <c r="F44" s="40"/>
      <c r="H44" s="40">
        <f>H43</f>
        <v>-0.178446911404912</v>
      </c>
      <c r="I44" s="40">
        <f>I43</f>
        <v>0.178446911404912</v>
      </c>
      <c r="J44" s="40">
        <f>J43</f>
        <v>0</v>
      </c>
      <c r="K44" s="40"/>
      <c r="L44" s="40"/>
      <c r="O44" s="40"/>
      <c r="P44" s="40"/>
      <c r="R44" s="40"/>
    </row>
    <row r="46" spans="5:12">
      <c r="E46" s="28"/>
      <c r="L46" s="28"/>
    </row>
    <row r="47" spans="4:18">
      <c r="D47" t="s">
        <v>37</v>
      </c>
      <c r="E47" s="35"/>
      <c r="H47" s="2">
        <f>H42*$E$6</f>
        <v>365.303408956538</v>
      </c>
      <c r="I47" s="2">
        <f>I42*($E$6/1.732/$N$1)</f>
        <v>9.01299903558544</v>
      </c>
      <c r="J47" s="2">
        <f>J42*$O$7</f>
        <v>4121.3495194544</v>
      </c>
      <c r="L47" s="35"/>
      <c r="O47" s="2"/>
      <c r="P47" s="2"/>
      <c r="R47" s="2"/>
    </row>
    <row r="48" spans="4:18">
      <c r="D48" t="s">
        <v>38</v>
      </c>
      <c r="E48" s="35"/>
      <c r="H48" s="2">
        <f>H43*$E$6</f>
        <v>-46.831542988902</v>
      </c>
      <c r="I48" s="2">
        <f>I43*($E$6/1.732/$N$1)</f>
        <v>9.01299903558544</v>
      </c>
      <c r="J48" s="2">
        <f>J43*$O$7</f>
        <v>0</v>
      </c>
      <c r="L48" s="35"/>
      <c r="O48" s="2"/>
      <c r="P48" s="2"/>
      <c r="R48" s="2"/>
    </row>
    <row r="49" spans="4:18">
      <c r="D49" t="s">
        <v>39</v>
      </c>
      <c r="E49" s="35"/>
      <c r="H49" s="2">
        <f>H44*$E$6</f>
        <v>-46.831542988902</v>
      </c>
      <c r="I49" s="2">
        <f>I44*($E$6/1.732/$N$1)</f>
        <v>9.01299903558544</v>
      </c>
      <c r="J49" s="2">
        <f>J44*$O$7</f>
        <v>0</v>
      </c>
      <c r="L49" s="35"/>
      <c r="O49" s="2"/>
      <c r="P49" s="2"/>
      <c r="R49" s="2"/>
    </row>
    <row r="51" spans="4:5">
      <c r="D51" t="s">
        <v>63</v>
      </c>
      <c r="E51">
        <f>1-H35*H31</f>
        <v>0.83765591577499</v>
      </c>
    </row>
    <row r="52" spans="4:5">
      <c r="D52" t="s">
        <v>65</v>
      </c>
      <c r="E52">
        <f>-H35*H31</f>
        <v>-0.16234408422501</v>
      </c>
    </row>
    <row r="53" spans="4:5">
      <c r="D53" t="s">
        <v>67</v>
      </c>
      <c r="E53">
        <f>-H35*H32</f>
        <v>-0.67531183154998</v>
      </c>
    </row>
    <row r="54" spans="13:18">
      <c r="M54" s="28" t="s">
        <v>64</v>
      </c>
      <c r="P54" t="s">
        <v>2</v>
      </c>
      <c r="R54" t="s">
        <v>60</v>
      </c>
    </row>
    <row r="55" spans="4:18">
      <c r="D55" t="s">
        <v>70</v>
      </c>
      <c r="E55">
        <f>E51+E52+E53</f>
        <v>0</v>
      </c>
      <c r="L55">
        <f>E55</f>
        <v>0</v>
      </c>
      <c r="M55">
        <v>0</v>
      </c>
      <c r="N55">
        <v>0</v>
      </c>
      <c r="O55">
        <v>0</v>
      </c>
      <c r="P55">
        <f>E55</f>
        <v>0</v>
      </c>
      <c r="R55">
        <v>0</v>
      </c>
    </row>
    <row r="56" spans="4:18">
      <c r="D56" t="s">
        <v>71</v>
      </c>
      <c r="E56" t="s">
        <v>92</v>
      </c>
      <c r="G56" t="s">
        <v>93</v>
      </c>
      <c r="L56">
        <f>(-0.5*E51)+(-0.5*E52)+E53</f>
        <v>-1.01296774732497</v>
      </c>
      <c r="M56">
        <f>(-0.866*E51)+(0.866*E52)</f>
        <v>-0.866</v>
      </c>
      <c r="N56">
        <f>(SQRT(L56^2+M56^2))</f>
        <v>1.332688882343</v>
      </c>
      <c r="O56">
        <f>ATAN(M56/L56)</f>
        <v>0.707339809551533</v>
      </c>
      <c r="P56">
        <f>N56*L1/1.732</f>
        <v>16.9279188288371</v>
      </c>
      <c r="R56">
        <f>DEGREES(O56)</f>
        <v>40.5275857688903</v>
      </c>
    </row>
    <row r="57" spans="4:18">
      <c r="D57" t="s">
        <v>72</v>
      </c>
      <c r="E57" t="s">
        <v>94</v>
      </c>
      <c r="G57" t="s">
        <v>95</v>
      </c>
      <c r="L57">
        <f>(-0.5*E51)+(-0.5*E52)+E53</f>
        <v>-1.01296774732497</v>
      </c>
      <c r="M57">
        <f>(0.866*E51)+(-0.866*E52)</f>
        <v>0.866</v>
      </c>
      <c r="N57">
        <f>(SQRT(L57^2+M57^2))</f>
        <v>1.332688882343</v>
      </c>
      <c r="O57">
        <f>ATAN(M57/L57)</f>
        <v>-0.707339809551533</v>
      </c>
      <c r="P57">
        <f>N57*L1/1.732</f>
        <v>16.9279188288371</v>
      </c>
      <c r="R57">
        <f>DEGREES(O57)</f>
        <v>-40.5275857688903</v>
      </c>
    </row>
  </sheetData>
  <mergeCells count="4">
    <mergeCell ref="C2:E2"/>
    <mergeCell ref="G2:J2"/>
    <mergeCell ref="L2:O2"/>
    <mergeCell ref="R2:S2"/>
  </mergeCell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B16"/>
  <sheetViews>
    <sheetView workbookViewId="0">
      <selection activeCell="D21" sqref="D21"/>
    </sheetView>
  </sheetViews>
  <sheetFormatPr defaultColWidth="8.72380952380952" defaultRowHeight="15" outlineLevelCol="1"/>
  <sheetData>
    <row r="4" spans="2:2">
      <c r="B4" t="s">
        <v>96</v>
      </c>
    </row>
    <row r="5" spans="2:2">
      <c r="B5" s="7" t="s">
        <v>97</v>
      </c>
    </row>
    <row r="6" spans="2:2">
      <c r="B6" t="s">
        <v>98</v>
      </c>
    </row>
    <row r="7" spans="2:2">
      <c r="B7" t="s">
        <v>99</v>
      </c>
    </row>
    <row r="8" spans="2:2">
      <c r="B8" t="s">
        <v>100</v>
      </c>
    </row>
    <row r="10" spans="2:2">
      <c r="B10" t="s">
        <v>101</v>
      </c>
    </row>
    <row r="11" spans="2:2">
      <c r="B11" s="7" t="s">
        <v>102</v>
      </c>
    </row>
    <row r="12" spans="2:2">
      <c r="B12" t="s">
        <v>103</v>
      </c>
    </row>
    <row r="13" spans="2:2">
      <c r="B13" t="s">
        <v>104</v>
      </c>
    </row>
    <row r="14" spans="2:2">
      <c r="B14" t="s">
        <v>105</v>
      </c>
    </row>
    <row r="15" spans="2:2">
      <c r="B15" t="s">
        <v>106</v>
      </c>
    </row>
    <row r="16" spans="2:2">
      <c r="B16" t="s">
        <v>107</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O25"/>
  <sheetViews>
    <sheetView topLeftCell="B1" workbookViewId="0">
      <selection activeCell="K2" sqref="K2"/>
    </sheetView>
  </sheetViews>
  <sheetFormatPr defaultColWidth="8.72380952380952" defaultRowHeight="15"/>
  <cols>
    <col min="5" max="5" width="12.8190476190476"/>
    <col min="6" max="6" width="8.45714285714286" customWidth="1"/>
    <col min="7" max="7" width="12.9047619047619"/>
    <col min="8" max="8" width="9.09523809523809" customWidth="1"/>
    <col min="9" max="9" width="12.8190476190476"/>
    <col min="10" max="10" width="6.36190476190476" customWidth="1"/>
    <col min="11" max="17" width="12.8190476190476"/>
  </cols>
  <sheetData>
    <row r="2" spans="3:11">
      <c r="C2">
        <v>315</v>
      </c>
      <c r="D2" t="s">
        <v>1</v>
      </c>
      <c r="E2">
        <v>400</v>
      </c>
      <c r="F2">
        <v>220</v>
      </c>
      <c r="G2">
        <v>33</v>
      </c>
      <c r="K2" s="6"/>
    </row>
    <row r="4" spans="5:7">
      <c r="E4">
        <v>454.7</v>
      </c>
      <c r="F4">
        <v>826.7</v>
      </c>
      <c r="G4">
        <v>1837</v>
      </c>
    </row>
    <row r="6" spans="9:9">
      <c r="I6" s="7"/>
    </row>
    <row r="7" spans="9:9">
      <c r="I7" s="7"/>
    </row>
    <row r="8" spans="3:9">
      <c r="C8" t="s">
        <v>108</v>
      </c>
      <c r="D8">
        <v>166.87</v>
      </c>
      <c r="E8">
        <v>415.15</v>
      </c>
      <c r="G8" s="1">
        <f>E8/1.732/D8</f>
        <v>1.43641155019514</v>
      </c>
      <c r="H8">
        <f>G2/1.732/G4*1000</f>
        <v>10.3718659678334</v>
      </c>
      <c r="I8" s="8">
        <f>G8/H8</f>
        <v>0.138491140808214</v>
      </c>
    </row>
    <row r="9" spans="5:9">
      <c r="E9" s="2"/>
      <c r="G9" s="1"/>
      <c r="I9" s="7"/>
    </row>
    <row r="10" spans="7:9">
      <c r="G10" s="1"/>
      <c r="I10" s="7"/>
    </row>
    <row r="11" spans="3:9">
      <c r="C11" t="s">
        <v>109</v>
      </c>
      <c r="D11">
        <v>258.13</v>
      </c>
      <c r="E11">
        <v>415.25</v>
      </c>
      <c r="G11" s="1">
        <f>E11/1.732/D11</f>
        <v>0.928802278315642</v>
      </c>
      <c r="H11">
        <f>G2*1000/1.732/G4</f>
        <v>10.3718659678334</v>
      </c>
      <c r="I11" s="9">
        <f>G11/H11</f>
        <v>0.0895501620630432</v>
      </c>
    </row>
    <row r="12" spans="5:9">
      <c r="E12" s="2"/>
      <c r="G12" s="1"/>
      <c r="I12" s="7"/>
    </row>
    <row r="13" spans="7:9">
      <c r="G13" s="3"/>
      <c r="I13" s="7"/>
    </row>
    <row r="14" spans="7:15">
      <c r="G14" s="3"/>
      <c r="I14" s="7"/>
      <c r="K14" s="10" t="s">
        <v>110</v>
      </c>
      <c r="L14" s="10"/>
      <c r="M14" s="10"/>
      <c r="N14" s="10"/>
      <c r="O14" s="10"/>
    </row>
    <row r="15" spans="3:15">
      <c r="C15" t="s">
        <v>111</v>
      </c>
      <c r="D15">
        <v>52.573</v>
      </c>
      <c r="G15" s="1"/>
      <c r="I15" s="9">
        <f>52.573/E2</f>
        <v>0.1314325</v>
      </c>
      <c r="K15">
        <v>400</v>
      </c>
      <c r="L15">
        <v>8.8</v>
      </c>
      <c r="M15" s="1">
        <f>L15/K15*1000</f>
        <v>22</v>
      </c>
      <c r="N15" s="2">
        <f>E2^2/C2</f>
        <v>507.936507936508</v>
      </c>
      <c r="O15" s="9">
        <f>M15/N15*3</f>
        <v>0.1299375</v>
      </c>
    </row>
    <row r="16" spans="7:15">
      <c r="G16" s="4"/>
      <c r="I16" s="7"/>
      <c r="L16" s="2"/>
      <c r="M16" s="11"/>
      <c r="N16" s="9"/>
      <c r="O16" s="7"/>
    </row>
    <row r="17" spans="7:15">
      <c r="G17" s="4"/>
      <c r="I17" s="7"/>
      <c r="N17" s="7"/>
      <c r="O17" s="7"/>
    </row>
    <row r="18" spans="7:15">
      <c r="G18" s="4"/>
      <c r="I18" s="7"/>
      <c r="O18" s="7"/>
    </row>
    <row r="19" spans="3:15">
      <c r="C19" t="s">
        <v>42</v>
      </c>
      <c r="D19">
        <v>128</v>
      </c>
      <c r="E19">
        <v>44.9</v>
      </c>
      <c r="G19" s="1">
        <f>E19/D19/1.732*1000</f>
        <v>202.529590069284</v>
      </c>
      <c r="H19">
        <f>E2^2/C2</f>
        <v>507.936507936508</v>
      </c>
      <c r="I19" s="9">
        <f>G19/H19</f>
        <v>0.398730130448903</v>
      </c>
      <c r="K19">
        <v>153</v>
      </c>
      <c r="L19" s="1">
        <v>9.98</v>
      </c>
      <c r="M19" s="1">
        <f>L19/K19*1000</f>
        <v>65.2287581699347</v>
      </c>
      <c r="N19" s="12">
        <f>E2^2/C2</f>
        <v>507.936507936508</v>
      </c>
      <c r="O19" s="9">
        <f>M19/N19*3</f>
        <v>0.385257352941177</v>
      </c>
    </row>
    <row r="20" spans="7:15">
      <c r="G20" s="4"/>
      <c r="I20" s="7"/>
      <c r="N20" s="7"/>
      <c r="O20" s="7"/>
    </row>
    <row r="21" spans="7:15">
      <c r="G21" s="5"/>
      <c r="I21" s="7"/>
      <c r="N21" s="7"/>
      <c r="O21" s="7"/>
    </row>
    <row r="22" spans="3:15">
      <c r="C22" t="s">
        <v>112</v>
      </c>
      <c r="D22">
        <v>245</v>
      </c>
      <c r="E22">
        <v>17.2</v>
      </c>
      <c r="G22" s="1">
        <f>E22/D22/1.732*1000</f>
        <v>40.5335344299383</v>
      </c>
      <c r="H22">
        <f>F2/1.732/F4*1000</f>
        <v>153.647980185556</v>
      </c>
      <c r="I22" s="9">
        <f>G22/H22</f>
        <v>0.263807792207792</v>
      </c>
      <c r="K22">
        <v>295</v>
      </c>
      <c r="L22">
        <v>3.9</v>
      </c>
      <c r="M22" s="1">
        <f>L22/K22*1000</f>
        <v>13.2203389830508</v>
      </c>
      <c r="N22" s="12">
        <f>F2^2/C2</f>
        <v>153.650793650794</v>
      </c>
      <c r="O22" s="9">
        <f>M22/N22*3</f>
        <v>0.258124387169071</v>
      </c>
    </row>
    <row r="23" spans="5:14">
      <c r="E23" s="2"/>
      <c r="G23" s="4"/>
      <c r="L23" s="2"/>
      <c r="M23" s="11"/>
      <c r="N23" s="9"/>
    </row>
    <row r="24" spans="13:13">
      <c r="M24" s="7"/>
    </row>
    <row r="25" spans="13:13">
      <c r="M25" s="7"/>
    </row>
  </sheetData>
  <mergeCells count="1">
    <mergeCell ref="K14:O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5</vt:i4>
      </vt:variant>
    </vt:vector>
  </HeadingPairs>
  <TitlesOfParts>
    <vt:vector size="5" baseType="lpstr">
      <vt:lpstr>TFR</vt:lpstr>
      <vt:lpstr>ICT with Tertiary</vt:lpstr>
      <vt:lpstr> LV fault</vt:lpstr>
      <vt:lpstr>Notes</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cp:lastModifiedBy>
  <dcterms:created xsi:type="dcterms:W3CDTF">2020-07-03T13:51:00Z</dcterms:created>
  <dcterms:modified xsi:type="dcterms:W3CDTF">2020-09-15T06:30:54Z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1033-11.2.0.9665</vt:lpwstr>
  </property>
</Properties>
</file>